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20. CÔNG TÁC GIẢI PHÓNG MẶT BẰNG CÁC DỰ ÁN\Dự án đường từ ĐT.387 đến QL.5 nút giao trung tâm y tế\Dự thảo phương án bồi thường hỗ trợ đợt 2\"/>
    </mc:Choice>
  </mc:AlternateContent>
  <xr:revisionPtr revIDLastSave="0" documentId="13_ncr:1_{42837A01-11BC-4F23-9098-8BF2B2BCCBD0}" xr6:coauthVersionLast="47" xr6:coauthVersionMax="47" xr10:uidLastSave="{00000000-0000-0000-0000-000000000000}"/>
  <bookViews>
    <workbookView xWindow="-120" yWindow="-120" windowWidth="29040" windowHeight="15840" xr2:uid="{F9828B7C-9806-4929-BFCD-161CE7A8FDE6}"/>
  </bookViews>
  <sheets>
    <sheet name="PA" sheetId="1" r:id="rId1"/>
  </sheets>
  <definedNames>
    <definedName name="_xlnm._FilterDatabase" localSheetId="0" hidden="1">PA!$A$4:$AC$47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4" i="1" l="1"/>
  <c r="M48" i="1"/>
  <c r="L48" i="1"/>
  <c r="X5" i="1"/>
  <c r="X6" i="1"/>
  <c r="X7" i="1"/>
  <c r="X8" i="1"/>
  <c r="X14" i="1"/>
  <c r="X20" i="1"/>
  <c r="X27" i="1"/>
  <c r="X33" i="1"/>
  <c r="X34" i="1"/>
  <c r="X35" i="1"/>
  <c r="X36" i="1"/>
  <c r="X37" i="1"/>
  <c r="X38" i="1"/>
  <c r="X39" i="1"/>
  <c r="X40" i="1"/>
  <c r="X41" i="1"/>
  <c r="X42" i="1"/>
  <c r="X43" i="1"/>
  <c r="X44" i="1"/>
  <c r="X45" i="1"/>
  <c r="X46" i="1"/>
  <c r="X47" i="1"/>
  <c r="Y5" i="1"/>
  <c r="Y6" i="1"/>
  <c r="Y7" i="1"/>
  <c r="Y8" i="1"/>
  <c r="Y14" i="1"/>
  <c r="Y20" i="1"/>
  <c r="Y27" i="1"/>
  <c r="Y33" i="1"/>
  <c r="Y34" i="1"/>
  <c r="Y35" i="1"/>
  <c r="Y36" i="1"/>
  <c r="Y37" i="1"/>
  <c r="Y38" i="1"/>
  <c r="Y39" i="1"/>
  <c r="Y40" i="1"/>
  <c r="Y41" i="1"/>
  <c r="Y42" i="1"/>
  <c r="Y43" i="1"/>
  <c r="Y44" i="1"/>
  <c r="Y45" i="1"/>
  <c r="Y46" i="1"/>
  <c r="Y47" i="1"/>
  <c r="T5" i="1" l="1"/>
  <c r="L4" i="1"/>
  <c r="S45" i="1"/>
  <c r="S46" i="1"/>
  <c r="S47" i="1"/>
  <c r="R45" i="1"/>
  <c r="R46" i="1"/>
  <c r="R47" i="1"/>
  <c r="O46" i="1"/>
  <c r="T7" i="1"/>
  <c r="S7" i="1"/>
  <c r="R7" i="1"/>
  <c r="O7" i="1"/>
  <c r="M4" i="1"/>
  <c r="U7" i="1" l="1"/>
  <c r="Z7" i="1" s="1"/>
  <c r="N9" i="1"/>
  <c r="N11" i="1"/>
  <c r="X11" i="1" s="1"/>
  <c r="N17" i="1"/>
  <c r="X17" i="1" s="1"/>
  <c r="N23" i="1"/>
  <c r="X23" i="1" s="1"/>
  <c r="N25" i="1"/>
  <c r="X25" i="1" s="1"/>
  <c r="N28" i="1"/>
  <c r="X28" i="1" s="1"/>
  <c r="N30" i="1"/>
  <c r="F47" i="1"/>
  <c r="O47" i="1" s="1"/>
  <c r="F45" i="1"/>
  <c r="O45" i="1" s="1"/>
  <c r="Y9" i="1" l="1"/>
  <c r="X9" i="1"/>
  <c r="Y30" i="1"/>
  <c r="X30" i="1"/>
  <c r="Y11" i="1"/>
  <c r="Y25" i="1"/>
  <c r="Y23" i="1"/>
  <c r="Y28" i="1"/>
  <c r="Y17" i="1"/>
  <c r="U47" i="1"/>
  <c r="Z47" i="1" s="1"/>
  <c r="U45" i="1"/>
  <c r="Z45" i="1" s="1"/>
  <c r="U46" i="1"/>
  <c r="Z46" i="1" s="1"/>
  <c r="S44" i="1"/>
  <c r="R44" i="1"/>
  <c r="F44" i="1"/>
  <c r="O44" i="1" s="1"/>
  <c r="T43" i="1"/>
  <c r="S43" i="1"/>
  <c r="R43" i="1"/>
  <c r="E43" i="1"/>
  <c r="F43" i="1" s="1"/>
  <c r="O43" i="1" s="1"/>
  <c r="T42" i="1"/>
  <c r="S42" i="1"/>
  <c r="R42" i="1"/>
  <c r="E42" i="1"/>
  <c r="F42" i="1" s="1"/>
  <c r="O42" i="1" s="1"/>
  <c r="T41" i="1"/>
  <c r="S41" i="1"/>
  <c r="R41" i="1"/>
  <c r="E41" i="1"/>
  <c r="F41" i="1" s="1"/>
  <c r="O41" i="1" s="1"/>
  <c r="T40" i="1"/>
  <c r="S40" i="1"/>
  <c r="R40" i="1"/>
  <c r="E40" i="1"/>
  <c r="F40" i="1" s="1"/>
  <c r="O40" i="1" s="1"/>
  <c r="T39" i="1"/>
  <c r="S39" i="1"/>
  <c r="R39" i="1"/>
  <c r="E39" i="1"/>
  <c r="F39" i="1" s="1"/>
  <c r="O39" i="1" s="1"/>
  <c r="S38" i="1"/>
  <c r="R38" i="1"/>
  <c r="E38" i="1"/>
  <c r="F38" i="1" s="1"/>
  <c r="O38" i="1" s="1"/>
  <c r="T37" i="1"/>
  <c r="S37" i="1"/>
  <c r="R37" i="1"/>
  <c r="F37" i="1"/>
  <c r="O37" i="1" s="1"/>
  <c r="T36" i="1"/>
  <c r="S36" i="1"/>
  <c r="R36" i="1"/>
  <c r="F36" i="1"/>
  <c r="O36" i="1" s="1"/>
  <c r="T35" i="1"/>
  <c r="S35" i="1"/>
  <c r="R35" i="1"/>
  <c r="E35" i="1"/>
  <c r="F35" i="1" s="1"/>
  <c r="O35" i="1" s="1"/>
  <c r="T34" i="1"/>
  <c r="S34" i="1"/>
  <c r="R34" i="1"/>
  <c r="E34" i="1"/>
  <c r="F34" i="1" s="1"/>
  <c r="O34" i="1" s="1"/>
  <c r="T33" i="1"/>
  <c r="S33" i="1"/>
  <c r="R33" i="1"/>
  <c r="E33" i="1"/>
  <c r="F33" i="1" s="1"/>
  <c r="O33" i="1" s="1"/>
  <c r="T31" i="1"/>
  <c r="N31" i="1"/>
  <c r="E31" i="1"/>
  <c r="F31" i="1" s="1"/>
  <c r="S30" i="1"/>
  <c r="R30" i="1"/>
  <c r="E30" i="1"/>
  <c r="F30" i="1" s="1"/>
  <c r="O30" i="1" s="1"/>
  <c r="T28" i="1"/>
  <c r="R28" i="1"/>
  <c r="E28" i="1"/>
  <c r="F28" i="1" s="1"/>
  <c r="T27" i="1"/>
  <c r="S27" i="1"/>
  <c r="R27" i="1"/>
  <c r="E27" i="1"/>
  <c r="F27" i="1" s="1"/>
  <c r="O27" i="1" s="1"/>
  <c r="T25" i="1"/>
  <c r="F25" i="1"/>
  <c r="T23" i="1"/>
  <c r="S23" i="1"/>
  <c r="F23" i="1"/>
  <c r="T21" i="1"/>
  <c r="N21" i="1"/>
  <c r="F21" i="1"/>
  <c r="T20" i="1"/>
  <c r="S20" i="1"/>
  <c r="R20" i="1"/>
  <c r="E20" i="1"/>
  <c r="F20" i="1" s="1"/>
  <c r="O20" i="1" s="1"/>
  <c r="T17" i="1"/>
  <c r="E17" i="1"/>
  <c r="F17" i="1" s="1"/>
  <c r="T15" i="1"/>
  <c r="N15" i="1"/>
  <c r="E15" i="1"/>
  <c r="F15" i="1" s="1"/>
  <c r="T14" i="1"/>
  <c r="S14" i="1"/>
  <c r="R14" i="1"/>
  <c r="E14" i="1"/>
  <c r="F14" i="1" s="1"/>
  <c r="O14" i="1" s="1"/>
  <c r="T12" i="1"/>
  <c r="N12" i="1"/>
  <c r="N48" i="1" s="1"/>
  <c r="E12" i="1"/>
  <c r="F12" i="1" s="1"/>
  <c r="S11" i="1"/>
  <c r="R11" i="1"/>
  <c r="E11" i="1"/>
  <c r="F11" i="1" s="1"/>
  <c r="O11" i="1" s="1"/>
  <c r="T9" i="1"/>
  <c r="E9" i="1"/>
  <c r="F9" i="1" s="1"/>
  <c r="T8" i="1"/>
  <c r="S8" i="1"/>
  <c r="R8" i="1"/>
  <c r="F8" i="1"/>
  <c r="O8" i="1" s="1"/>
  <c r="T6" i="1"/>
  <c r="S6" i="1"/>
  <c r="R6" i="1"/>
  <c r="E6" i="1"/>
  <c r="F6" i="1" s="1"/>
  <c r="O6" i="1" s="1"/>
  <c r="S5" i="1"/>
  <c r="R5" i="1"/>
  <c r="E5" i="1"/>
  <c r="F5" i="1" s="1"/>
  <c r="O5" i="1" s="1"/>
  <c r="T48" i="1" l="1"/>
  <c r="Y31" i="1"/>
  <c r="X31" i="1"/>
  <c r="Y15" i="1"/>
  <c r="X15" i="1"/>
  <c r="X4" i="1" s="1"/>
  <c r="Y12" i="1"/>
  <c r="Y48" i="1" s="1"/>
  <c r="X12" i="1"/>
  <c r="Y21" i="1"/>
  <c r="Y4" i="1" s="1"/>
  <c r="X21" i="1"/>
  <c r="T4" i="1"/>
  <c r="N4" i="1"/>
  <c r="R15" i="1"/>
  <c r="U30" i="1"/>
  <c r="Z30" i="1" s="1"/>
  <c r="U34" i="1"/>
  <c r="Z34" i="1" s="1"/>
  <c r="O31" i="1"/>
  <c r="U33" i="1"/>
  <c r="Z33" i="1" s="1"/>
  <c r="U14" i="1"/>
  <c r="Z14" i="1" s="1"/>
  <c r="O9" i="1"/>
  <c r="U44" i="1"/>
  <c r="Z44" i="1" s="1"/>
  <c r="R23" i="1"/>
  <c r="U23" i="1" s="1"/>
  <c r="U5" i="1"/>
  <c r="U38" i="1"/>
  <c r="Z38" i="1" s="1"/>
  <c r="U39" i="1"/>
  <c r="Z39" i="1" s="1"/>
  <c r="U41" i="1"/>
  <c r="Z41" i="1" s="1"/>
  <c r="S15" i="1"/>
  <c r="U8" i="1"/>
  <c r="Z8" i="1" s="1"/>
  <c r="R31" i="1"/>
  <c r="U35" i="1"/>
  <c r="Z35" i="1" s="1"/>
  <c r="U40" i="1"/>
  <c r="Z40" i="1" s="1"/>
  <c r="R9" i="1"/>
  <c r="U27" i="1"/>
  <c r="Z27" i="1" s="1"/>
  <c r="S28" i="1"/>
  <c r="U28" i="1" s="1"/>
  <c r="S31" i="1"/>
  <c r="U36" i="1"/>
  <c r="Z36" i="1" s="1"/>
  <c r="U42" i="1"/>
  <c r="Z42" i="1" s="1"/>
  <c r="U43" i="1"/>
  <c r="Z43" i="1" s="1"/>
  <c r="U11" i="1"/>
  <c r="Z11" i="1" s="1"/>
  <c r="U6" i="1"/>
  <c r="Z6" i="1" s="1"/>
  <c r="S9" i="1"/>
  <c r="S48" i="1" s="1"/>
  <c r="U20" i="1"/>
  <c r="O23" i="1"/>
  <c r="U37" i="1"/>
  <c r="Z37" i="1" s="1"/>
  <c r="O12" i="1"/>
  <c r="O17" i="1"/>
  <c r="O21" i="1"/>
  <c r="O25" i="1"/>
  <c r="R12" i="1"/>
  <c r="O15" i="1"/>
  <c r="R17" i="1"/>
  <c r="R48" i="1" s="1"/>
  <c r="R21" i="1"/>
  <c r="R25" i="1"/>
  <c r="O28" i="1"/>
  <c r="S12" i="1"/>
  <c r="S17" i="1"/>
  <c r="S21" i="1"/>
  <c r="S25" i="1"/>
  <c r="Z5" i="1" l="1"/>
  <c r="U15" i="1"/>
  <c r="Z15" i="1" s="1"/>
  <c r="S4" i="1"/>
  <c r="R4" i="1"/>
  <c r="Z20" i="1"/>
  <c r="Z23" i="1"/>
  <c r="U31" i="1"/>
  <c r="Z31" i="1" s="1"/>
  <c r="U9" i="1"/>
  <c r="Z9" i="1" s="1"/>
  <c r="Z28" i="1"/>
  <c r="U25" i="1"/>
  <c r="U12" i="1"/>
  <c r="U21" i="1"/>
  <c r="Z21" i="1" s="1"/>
  <c r="U17" i="1"/>
  <c r="Z17" i="1" s="1"/>
  <c r="U48" i="1" l="1"/>
  <c r="Z25" i="1"/>
  <c r="U4" i="1"/>
  <c r="Z12" i="1"/>
  <c r="Z48" i="1" s="1"/>
</calcChain>
</file>

<file path=xl/sharedStrings.xml><?xml version="1.0" encoding="utf-8"?>
<sst xmlns="http://schemas.openxmlformats.org/spreadsheetml/2006/main" count="180" uniqueCount="103">
  <si>
    <t>STT</t>
  </si>
  <si>
    <t>Họ và tên chủ hộ hoặc người đại diện hợp pháp</t>
  </si>
  <si>
    <t>Số khẩu giao ruộng</t>
  </si>
  <si>
    <t xml:space="preserve">Tổng diện tích giao (m2) </t>
  </si>
  <si>
    <t>Diện tích thu hồi (m2)</t>
  </si>
  <si>
    <t>Tỷ lệ phần trăm thu hồi</t>
  </si>
  <si>
    <t>Số tháng hỗ trợ</t>
  </si>
  <si>
    <t>Số nhân khẩu hỗ trợ</t>
  </si>
  <si>
    <t>Kinh phí bồi thường, hỗ trợ về đất</t>
  </si>
  <si>
    <t>Bồi thường, hỗ trợ đối với cây trồng, hoa màu, tài sản gắn liền với đất</t>
  </si>
  <si>
    <t>Tổng kinh phí BTHT (đồng)</t>
  </si>
  <si>
    <t>Ghi chú</t>
  </si>
  <si>
    <t>Số Thửa</t>
  </si>
  <si>
    <t>Số tờ</t>
  </si>
  <si>
    <t>Số thửa</t>
  </si>
  <si>
    <t>Loại đất</t>
  </si>
  <si>
    <t>Kinh phí bồi thường về đất (90.000đồng/m²)</t>
  </si>
  <si>
    <t>Kinh phí hỗ trợ chuyển đổi nghề (3x90.000 đồng/m²)</t>
  </si>
  <si>
    <t>Kinh phí hỗ trợ ổn đời sống (số tháng hỗ trợ x số nhân khẩu hỗ trợ x 30 kg x 17.000 đ/kg)</t>
  </si>
  <si>
    <t>Tổng kinh phí bồi thường, hỗ trợ về đất (đồng)</t>
  </si>
  <si>
    <t>Tên cây trồng, hoa màu, tài sản gắn liền với đất</t>
  </si>
  <si>
    <t>Đơn vị tính (đồng)</t>
  </si>
  <si>
    <t>Thành tiền</t>
  </si>
  <si>
    <t>Tổng</t>
  </si>
  <si>
    <t>167/2</t>
  </si>
  <si>
    <t>LUC</t>
  </si>
  <si>
    <t>Lúa</t>
  </si>
  <si>
    <t>167/1</t>
  </si>
  <si>
    <t>109/2</t>
  </si>
  <si>
    <t>131/4</t>
  </si>
  <si>
    <t>168/10</t>
  </si>
  <si>
    <t>138/1</t>
  </si>
  <si>
    <t>131/5</t>
  </si>
  <si>
    <t>168/8</t>
  </si>
  <si>
    <t>138/4</t>
  </si>
  <si>
    <t>138/33</t>
  </si>
  <si>
    <t>145/2</t>
  </si>
  <si>
    <t>145/3</t>
  </si>
  <si>
    <t>151/2</t>
  </si>
  <si>
    <t>151/31</t>
  </si>
  <si>
    <t>Đặng Thị Tuyết</t>
  </si>
  <si>
    <t>151/3</t>
  </si>
  <si>
    <t>151/4</t>
  </si>
  <si>
    <t>151/5</t>
  </si>
  <si>
    <t>151/30</t>
  </si>
  <si>
    <t>Phạm Thị Lục (đã chết)</t>
  </si>
  <si>
    <t>151/41</t>
  </si>
  <si>
    <t>167/3</t>
  </si>
  <si>
    <t>168/4</t>
  </si>
  <si>
    <t>168/5</t>
  </si>
  <si>
    <t>168/3</t>
  </si>
  <si>
    <t>108/11</t>
  </si>
  <si>
    <t>168/9</t>
  </si>
  <si>
    <t>168/13</t>
  </si>
  <si>
    <t>168/7</t>
  </si>
  <si>
    <t>168/2</t>
  </si>
  <si>
    <t>118/12</t>
  </si>
  <si>
    <t>167/4</t>
  </si>
  <si>
    <t xml:space="preserve">Phạm Thị Vin (đã chết) </t>
  </si>
  <si>
    <t>151/1</t>
  </si>
  <si>
    <t>Vũ Chính Lệ (đã chết) 
Phạm Thị Nụ (đã chết)</t>
  </si>
  <si>
    <t>78/7</t>
  </si>
  <si>
    <t>Phạm Thị My (Đã chết)</t>
  </si>
  <si>
    <t>138/3</t>
  </si>
  <si>
    <t>138/34</t>
  </si>
  <si>
    <t>78/6</t>
  </si>
  <si>
    <t>Tổng diện tích thu hồi (m²)</t>
  </si>
  <si>
    <t>Diện tích thu hồi ngoài phạm vi (m²)</t>
  </si>
  <si>
    <t>Diện tích thu hồi trong phạm vi (m²)</t>
  </si>
  <si>
    <t>Diện Tích (m²)</t>
  </si>
  <si>
    <t>Diện tích đang sử dụng (m²)</t>
  </si>
  <si>
    <t>Phạm Thị Liên
Vũ Quốc Chiến (đã chết)
 Vũ Chính Kiên 
Vũ Quốc Đông 
Vũ Thị Duyên</t>
  </si>
  <si>
    <t>Phạm Văn Thực (đã chết)
 Phạm Thị Tình 
Phạm Thu Hà</t>
  </si>
  <si>
    <t xml:space="preserve">Vũ Văn Thị (đã chết) 
Nguyễn Thị Sành (đã chết)
 Vũ Văn Khánh
Nguyễn Thị Hưng </t>
  </si>
  <si>
    <t>Vũ Văn Quyết (đã chết) 
Bùi Thị Hiên 
Vũ Văn Quyền 
Vũ Huy Chức 
Vũ Văn Thanh</t>
  </si>
  <si>
    <t>Phạm Sỹ Sinh 
Nguyễn Thị Thịnh 
Phạm Sỹ Ngọc
 Phạm Sỹ Cường</t>
  </si>
  <si>
    <t>Nguyễn Thị Thơm (đã chết) 
Vũ Chính Lại ( đã chết)</t>
  </si>
  <si>
    <t>Phạm Thị Xuyến 
Nguyễn Thị Vinh
Nguyễn Phúc Thận (0,5 suất)-(đã chết)</t>
  </si>
  <si>
    <t>Nguyễn Thị Yến (đã chết)
Phạm Thị Hường
Phạm Sỹ Duẩn
Phạm Sỹ Biên Thùy
 Phạm Sỹ Thanh Duyên</t>
  </si>
  <si>
    <t>Nguyễn Hữu Hoành(đã chết) 
Phạm Thị Nhợi(đã chết) 
Đặng Thị Hồng 
Nguyễn Thị Hương
Nguyễn Hữu Sơn</t>
  </si>
  <si>
    <t>Phạm Sỹ Hảo (đã chết) 
Nguyễn Thị Loan
Phạm Sỹ Hiểu
Phạm Thị Gấm
Phạm Ngọc Đính</t>
  </si>
  <si>
    <t>Nguyễn Đức Luyến
Nguyễn Thị Lựu</t>
  </si>
  <si>
    <t>Phạm Thị Bê 
Phạm Sỹ Toản
Phạm Sỹ Tuyển</t>
  </si>
  <si>
    <t xml:space="preserve"> Nguyễn Thị Bích (đã chết)
Phạm Tất Đôn
Phạm Tất Đại
 Phạm Tất Đổng(đã chết)</t>
  </si>
  <si>
    <t xml:space="preserve"> Nguyễn Thị Phức
Phạm Khánh Ly</t>
  </si>
  <si>
    <t>Vũ Chính Đản (Đã chết)
Nguyễn Thị Thú 
Vũ Chính Định
Vũ Thị Hà 
Vũ Thị Diệp
Nguyễn Thị Lời;</t>
  </si>
  <si>
    <t>Nguyễn Thị Dung
Nguyễn Thị Thu
Phạm Thị Thiệu (đã chết)
Nguyễn Xuân Tạo (đã chết)
Nguyễn Thị Thanh
 Nguyễn Xuân Lâm
Nguyễn Xuân Đức (đã chết)</t>
  </si>
  <si>
    <t>Phạm Thị Huề
Vũ Văn Tường (đã chết)
Vũ Văn Tuân
Vũ Văn Toản
Vũ Thị Huế</t>
  </si>
  <si>
    <t>Chu Thị Lan
Phạm Sỹ Dân
Phạm Thị Trang</t>
  </si>
  <si>
    <t>Nguyễn Hữu Hùng
 Lương Thị Xế
Nguyễn Thị Hiến
Nguyễn Hữu Lương
Nguyễn Hữu Vui</t>
  </si>
  <si>
    <t>Vũ Chính Tích
Nguyễn Thị Thúy
Vũ Chính Tuân</t>
  </si>
  <si>
    <t>Lưu Thị Bảo (đã chết)
 Phan Thị Tiến (đã chết)
 Phạm Sỹ Huấn
Phạm Thị Thu Hường</t>
  </si>
  <si>
    <t>Nguyễn Ngọc Hữu
Phạm Thị Chái (đã chết)
Nguyễn Thị Miền
Nguyễn Thị Hòa
Nguyễn Thị Chung</t>
  </si>
  <si>
    <t>Đặng Ngọc Kiểm (đã chết)
Vũ Thị Kiều
Đặng Thị Nhật</t>
  </si>
  <si>
    <t xml:space="preserve">Nguyễn Ngọc Long (đã chết)
 Ngô Thị Yến
Nguyễn Thị Trang (0,5 suất) </t>
  </si>
  <si>
    <t>Nguyễn Ngọc Quyết
Phan Thị Hoa
Nguyễn Thị Tuyền
 Nguyễn Ngọc Tâm</t>
  </si>
  <si>
    <t>Vũ Chính Bình (đã chết)
Bùi Thị Phượng (đã chết) 
Vũ Chính Long
Vũ Chính Quang
Vũ Chính Vinh (đã chết) 
Vũ Chính Thành</t>
  </si>
  <si>
    <t>Phạm Sỹ Chúc
Phạm Thị Phúc
Phạm Tuân
Phạm Thị Yên
Phạm Sỹ Khương</t>
  </si>
  <si>
    <t>Vũ Văn Tảng (đã chết)
Nguyễn Thị Sen (đã chết)</t>
  </si>
  <si>
    <t>Thông tin thửa đất thu hồi theo trích lục</t>
  </si>
  <si>
    <t>Thông tin thửa đất thu hồi theo GCN</t>
  </si>
  <si>
    <t>HỖ TRỢ ỔN ĐỊNH ĐỜI SỐNG ĐÃ CHI TRẢ THEO QUYẾT ĐỊNH SỐ 1311/QĐ-UBND NGÀY 16/7/2026</t>
  </si>
  <si>
    <r>
      <rPr>
        <b/>
        <sz val="14"/>
        <color theme="1"/>
        <rFont val="Times New Roman"/>
        <family val="1"/>
      </rPr>
      <t>PHỤ LỤC</t>
    </r>
    <r>
      <rPr>
        <sz val="14"/>
        <color theme="1"/>
        <rFont val="Times New Roman"/>
        <family val="1"/>
      </rPr>
      <t xml:space="preserve"> 
</t>
    </r>
    <r>
      <rPr>
        <b/>
        <sz val="14"/>
        <color theme="1"/>
        <rFont val="Times New Roman"/>
        <family val="1"/>
      </rPr>
      <t>DỰ THẢO PHƯƠNG ÁN BỒI THƯỜNG, HỖ TRỢ PHỤC VỤ GPMB KHI NHÀ NƯỚC THU HỒI ĐẤT CỦA CÁC HỘ GIA, ĐÌNH CÁ NHÂN ĐỂ THỰC HIỆN DỰ ÁN XÂY DỰNG TUYẾN ĐƯỜNG TỪ ĐT.387 ĐẾN QL.5 (NÚT GIAO TRUNG TÂM Y TẾ) - ĐỢT 2</t>
    </r>
    <r>
      <rPr>
        <sz val="14"/>
        <color theme="1"/>
        <rFont val="Times New Roman"/>
        <family val="1"/>
      </rPr>
      <t xml:space="preserve">
</t>
    </r>
    <r>
      <rPr>
        <i/>
        <sz val="14"/>
        <color theme="1"/>
        <rFont val="Times New Roman"/>
        <family val="1"/>
      </rPr>
      <t>(Kèm theo Thông báo số              /TB-UBND ngày        /10/2026 của UBND phường Đường Hào)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</si>
</sst>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_(* #,##0.0_);_(* \(#,##0.0\);_(* &quot;-&quot;??_);_(@_)"/>
  </numFmts>
  <fonts count="7" x14ac:knownFonts="1">
    <font>
      <sz val="11"/>
      <color theme="1"/>
      <name val="Aptos Narrow"/>
      <family val="2"/>
      <scheme val="minor"/>
    </font>
    <font>
      <sz val="11"/>
      <color theme="1"/>
      <name val="Aptos Narrow"/>
      <family val="2"/>
      <scheme val="minor"/>
    </font>
    <font>
      <sz val="14"/>
      <color theme="1"/>
      <name val="Times New Roman"/>
      <family val="1"/>
    </font>
    <font>
      <b/>
      <sz val="14"/>
      <color theme="1"/>
      <name val="Times New Roman"/>
      <family val="1"/>
    </font>
    <font>
      <b/>
      <sz val="14"/>
      <name val="Times New Roman"/>
      <family val="1"/>
    </font>
    <font>
      <sz val="14"/>
      <color indexed="8"/>
      <name val="Times New Roman"/>
      <family val="1"/>
    </font>
    <font>
      <i/>
      <sz val="14"/>
      <color theme="1"/>
      <name val="Times New Roman"/>
      <family val="1"/>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1">
    <xf numFmtId="0" fontId="0" fillId="0" borderId="0" xfId="0"/>
    <xf numFmtId="0" fontId="2" fillId="2" borderId="0" xfId="0" applyFont="1" applyFill="1"/>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xf numFmtId="164" fontId="4" fillId="2" borderId="2" xfId="1" applyNumberFormat="1" applyFont="1" applyFill="1" applyBorder="1" applyAlignment="1">
      <alignment horizontal="center" vertical="center" wrapText="1"/>
    </xf>
    <xf numFmtId="3" fontId="4" fillId="2" borderId="2" xfId="0" applyNumberFormat="1"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2" xfId="1" applyNumberFormat="1" applyFont="1" applyFill="1" applyBorder="1" applyAlignment="1">
      <alignment horizontal="center" vertical="center" wrapText="1"/>
    </xf>
    <xf numFmtId="0" fontId="2" fillId="2" borderId="1" xfId="0" applyFont="1" applyFill="1" applyBorder="1" applyAlignment="1">
      <alignment horizontal="center" vertical="center"/>
    </xf>
    <xf numFmtId="49" fontId="5" fillId="2" borderId="2" xfId="0" applyNumberFormat="1" applyFont="1" applyFill="1" applyBorder="1" applyAlignment="1">
      <alignment horizontal="center" vertical="center" wrapText="1"/>
    </xf>
    <xf numFmtId="0" fontId="2" fillId="2" borderId="2" xfId="1" applyNumberFormat="1" applyFont="1" applyFill="1" applyBorder="1" applyAlignment="1">
      <alignment horizontal="center" vertical="center"/>
    </xf>
    <xf numFmtId="10" fontId="2" fillId="2" borderId="2" xfId="0" applyNumberFormat="1" applyFont="1" applyFill="1" applyBorder="1" applyAlignment="1">
      <alignment horizontal="center" vertical="center"/>
    </xf>
    <xf numFmtId="0" fontId="2" fillId="2" borderId="2" xfId="0" applyFont="1" applyFill="1" applyBorder="1"/>
    <xf numFmtId="0" fontId="2" fillId="2" borderId="6" xfId="0" applyFont="1" applyFill="1" applyBorder="1" applyAlignment="1">
      <alignment horizontal="center" vertical="center"/>
    </xf>
    <xf numFmtId="0" fontId="3" fillId="2" borderId="2" xfId="0" applyFont="1" applyFill="1" applyBorder="1"/>
    <xf numFmtId="164" fontId="3" fillId="2" borderId="2" xfId="1" applyNumberFormat="1" applyFont="1" applyFill="1" applyBorder="1"/>
    <xf numFmtId="164" fontId="3" fillId="2" borderId="2" xfId="0" applyNumberFormat="1" applyFont="1" applyFill="1" applyBorder="1"/>
    <xf numFmtId="164" fontId="2" fillId="2" borderId="0" xfId="1" applyNumberFormat="1" applyFont="1" applyFill="1"/>
    <xf numFmtId="165" fontId="2" fillId="2" borderId="2" xfId="1" applyNumberFormat="1" applyFont="1" applyFill="1" applyBorder="1" applyAlignment="1">
      <alignment horizontal="center" vertical="center" wrapText="1"/>
    </xf>
    <xf numFmtId="0" fontId="2" fillId="2" borderId="2" xfId="0" applyFont="1" applyFill="1" applyBorder="1" applyAlignment="1">
      <alignment vertical="center"/>
    </xf>
    <xf numFmtId="0" fontId="2" fillId="2" borderId="0" xfId="0" applyFont="1" applyFill="1" applyAlignment="1">
      <alignment horizontal="center" vertical="center"/>
    </xf>
    <xf numFmtId="10" fontId="2" fillId="2" borderId="2" xfId="2" applyNumberFormat="1" applyFont="1" applyFill="1" applyBorder="1" applyAlignment="1">
      <alignment horizontal="center" vertical="center"/>
    </xf>
    <xf numFmtId="164" fontId="2" fillId="2" borderId="2" xfId="1" applyNumberFormat="1" applyFont="1" applyFill="1" applyBorder="1" applyAlignment="1">
      <alignment horizontal="center" vertical="center"/>
    </xf>
    <xf numFmtId="164" fontId="2" fillId="2" borderId="2" xfId="1" applyNumberFormat="1" applyFont="1" applyFill="1" applyBorder="1" applyAlignment="1">
      <alignment horizontal="center" vertical="center" wrapText="1"/>
    </xf>
    <xf numFmtId="164" fontId="2" fillId="2" borderId="0" xfId="0" applyNumberFormat="1" applyFont="1" applyFill="1"/>
    <xf numFmtId="165" fontId="2" fillId="2" borderId="2" xfId="1" applyNumberFormat="1" applyFont="1" applyFill="1" applyBorder="1" applyAlignment="1">
      <alignment horizontal="center" vertical="center"/>
    </xf>
    <xf numFmtId="165" fontId="3" fillId="2" borderId="6" xfId="1" applyNumberFormat="1" applyFont="1" applyFill="1" applyBorder="1" applyAlignment="1">
      <alignment horizontal="center" vertical="center" wrapText="1"/>
    </xf>
    <xf numFmtId="165" fontId="2" fillId="2" borderId="1" xfId="1" applyNumberFormat="1" applyFont="1" applyFill="1" applyBorder="1" applyAlignment="1">
      <alignment horizontal="center" vertical="center" wrapText="1"/>
    </xf>
    <xf numFmtId="165" fontId="3" fillId="2" borderId="2" xfId="0" applyNumberFormat="1" applyFont="1" applyFill="1" applyBorder="1"/>
    <xf numFmtId="165" fontId="3" fillId="2" borderId="2" xfId="0" applyNumberFormat="1" applyFont="1" applyFill="1" applyBorder="1" applyAlignment="1">
      <alignment horizontal="center" vertical="center"/>
    </xf>
    <xf numFmtId="0" fontId="3" fillId="2" borderId="2" xfId="0" applyFont="1" applyFill="1" applyBorder="1" applyAlignment="1">
      <alignment horizontal="center" vertical="center"/>
    </xf>
    <xf numFmtId="164" fontId="4" fillId="2" borderId="2" xfId="1" applyNumberFormat="1" applyFont="1" applyFill="1" applyBorder="1" applyAlignment="1">
      <alignment horizontal="right" vertical="center" wrapText="1"/>
    </xf>
    <xf numFmtId="3" fontId="4" fillId="2" borderId="6" xfId="0" applyNumberFormat="1" applyFont="1" applyFill="1" applyBorder="1" applyAlignment="1">
      <alignment horizontal="right" vertical="center" wrapText="1"/>
    </xf>
    <xf numFmtId="0" fontId="2" fillId="2" borderId="5" xfId="0" applyFont="1" applyFill="1" applyBorder="1" applyAlignment="1">
      <alignment horizontal="center" vertical="center" wrapText="1"/>
    </xf>
    <xf numFmtId="164" fontId="2" fillId="2" borderId="1" xfId="1" applyNumberFormat="1" applyFont="1" applyFill="1" applyBorder="1" applyAlignment="1">
      <alignment horizontal="center" vertical="center"/>
    </xf>
    <xf numFmtId="164" fontId="2" fillId="2" borderId="6" xfId="1" applyNumberFormat="1" applyFont="1" applyFill="1" applyBorder="1" applyAlignment="1">
      <alignment horizontal="center" vertical="center"/>
    </xf>
    <xf numFmtId="164" fontId="2" fillId="2" borderId="7" xfId="1" applyNumberFormat="1" applyFont="1" applyFill="1" applyBorder="1" applyAlignment="1">
      <alignment horizontal="center" vertical="center"/>
    </xf>
    <xf numFmtId="165" fontId="2" fillId="2" borderId="2" xfId="1" applyNumberFormat="1" applyFont="1" applyFill="1" applyBorder="1" applyAlignment="1">
      <alignment horizontal="center" vertical="center"/>
    </xf>
    <xf numFmtId="0" fontId="2" fillId="2" borderId="1"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165" fontId="2" fillId="2" borderId="1" xfId="1" applyNumberFormat="1" applyFont="1" applyFill="1" applyBorder="1" applyAlignment="1">
      <alignment horizontal="center" vertical="center"/>
    </xf>
    <xf numFmtId="165" fontId="2" fillId="2" borderId="6" xfId="1" applyNumberFormat="1" applyFont="1" applyFill="1" applyBorder="1" applyAlignment="1">
      <alignment horizontal="center" vertical="center"/>
    </xf>
    <xf numFmtId="0" fontId="2" fillId="2" borderId="1" xfId="1" applyNumberFormat="1" applyFont="1" applyFill="1" applyBorder="1" applyAlignment="1">
      <alignment horizontal="center" vertical="center"/>
    </xf>
    <xf numFmtId="0" fontId="2" fillId="2" borderId="7" xfId="1" applyNumberFormat="1" applyFont="1" applyFill="1" applyBorder="1" applyAlignment="1">
      <alignment horizontal="center" vertical="center"/>
    </xf>
    <xf numFmtId="0" fontId="2" fillId="2" borderId="6" xfId="1" applyNumberFormat="1" applyFont="1" applyFill="1" applyBorder="1" applyAlignment="1">
      <alignment horizontal="center" vertical="center"/>
    </xf>
    <xf numFmtId="0" fontId="2" fillId="2" borderId="7" xfId="0" applyFont="1" applyFill="1" applyBorder="1" applyAlignment="1">
      <alignment horizontal="center" vertical="center"/>
    </xf>
    <xf numFmtId="0" fontId="2" fillId="2" borderId="7" xfId="0" applyFont="1" applyFill="1" applyBorder="1" applyAlignment="1">
      <alignment horizontal="center" vertical="center" wrapText="1"/>
    </xf>
    <xf numFmtId="165" fontId="2" fillId="2" borderId="1" xfId="1" applyNumberFormat="1" applyFont="1" applyFill="1" applyBorder="1" applyAlignment="1">
      <alignment horizontal="center" vertical="center" wrapText="1"/>
    </xf>
    <xf numFmtId="165" fontId="2" fillId="2" borderId="7" xfId="1" applyNumberFormat="1" applyFont="1" applyFill="1" applyBorder="1" applyAlignment="1">
      <alignment horizontal="center" vertical="center" wrapText="1"/>
    </xf>
    <xf numFmtId="165" fontId="2" fillId="2" borderId="6" xfId="1" applyNumberFormat="1" applyFont="1" applyFill="1" applyBorder="1" applyAlignment="1">
      <alignment horizontal="center" vertical="center" wrapText="1"/>
    </xf>
    <xf numFmtId="0" fontId="2" fillId="2" borderId="1" xfId="1" applyNumberFormat="1" applyFont="1" applyFill="1" applyBorder="1" applyAlignment="1">
      <alignment horizontal="center" vertical="center" wrapText="1"/>
    </xf>
    <xf numFmtId="0" fontId="2" fillId="2" borderId="7" xfId="1" applyNumberFormat="1" applyFont="1" applyFill="1" applyBorder="1" applyAlignment="1">
      <alignment horizontal="center" vertical="center" wrapText="1"/>
    </xf>
    <xf numFmtId="0" fontId="2" fillId="2" borderId="6" xfId="1" applyNumberFormat="1" applyFont="1" applyFill="1" applyBorder="1" applyAlignment="1">
      <alignment horizontal="center" vertical="center" wrapText="1"/>
    </xf>
    <xf numFmtId="10" fontId="2" fillId="2" borderId="1" xfId="0" applyNumberFormat="1" applyFont="1" applyFill="1" applyBorder="1" applyAlignment="1">
      <alignment horizontal="center" vertical="center"/>
    </xf>
    <xf numFmtId="10" fontId="2" fillId="2" borderId="6"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wrapText="1"/>
    </xf>
    <xf numFmtId="49" fontId="5" fillId="2" borderId="7"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165" fontId="3" fillId="0" borderId="1" xfId="1" applyNumberFormat="1" applyFont="1" applyFill="1" applyBorder="1" applyAlignment="1">
      <alignment horizontal="center" vertical="center" wrapText="1"/>
    </xf>
    <xf numFmtId="165" fontId="3" fillId="0" borderId="6" xfId="1" applyNumberFormat="1" applyFont="1" applyFill="1" applyBorder="1" applyAlignment="1">
      <alignment horizontal="center" vertical="center" wrapText="1"/>
    </xf>
    <xf numFmtId="3" fontId="4" fillId="2" borderId="3" xfId="0" applyNumberFormat="1" applyFont="1" applyFill="1" applyBorder="1" applyAlignment="1">
      <alignment horizontal="center" vertical="center" wrapText="1"/>
    </xf>
    <xf numFmtId="3" fontId="4" fillId="2" borderId="5" xfId="0" applyNumberFormat="1" applyFont="1" applyFill="1" applyBorder="1" applyAlignment="1">
      <alignment horizontal="center" vertical="center" wrapText="1"/>
    </xf>
    <xf numFmtId="3" fontId="4" fillId="2" borderId="4"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3" fontId="4" fillId="2" borderId="6" xfId="0" applyNumberFormat="1" applyFont="1" applyFill="1" applyBorder="1" applyAlignment="1">
      <alignment horizontal="center" vertical="center" wrapText="1"/>
    </xf>
    <xf numFmtId="10" fontId="2" fillId="2" borderId="7" xfId="0" applyNumberFormat="1" applyFont="1" applyFill="1" applyBorder="1" applyAlignment="1">
      <alignment horizontal="center"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86BA1-B5ED-46EC-9A5F-F32A291E43AB}">
  <dimension ref="A1:AE48"/>
  <sheetViews>
    <sheetView tabSelected="1" topLeftCell="A52" zoomScale="85" zoomScaleNormal="85" workbookViewId="0">
      <selection activeCell="AE6" sqref="AE6"/>
    </sheetView>
  </sheetViews>
  <sheetFormatPr defaultColWidth="9.140625" defaultRowHeight="18.75" x14ac:dyDescent="0.3"/>
  <cols>
    <col min="1" max="1" width="9.140625" style="1"/>
    <col min="2" max="2" width="38.42578125" style="1" customWidth="1"/>
    <col min="3" max="3" width="8.28515625" style="1" customWidth="1"/>
    <col min="4" max="4" width="13.5703125" style="1" hidden="1" customWidth="1"/>
    <col min="5" max="5" width="0" style="1" hidden="1" customWidth="1"/>
    <col min="6" max="6" width="12.140625" style="1" customWidth="1"/>
    <col min="7" max="7" width="10.5703125" style="1" customWidth="1"/>
    <col min="8" max="8" width="9.42578125" style="1" customWidth="1"/>
    <col min="9" max="9" width="8.140625" style="1" customWidth="1"/>
    <col min="10" max="10" width="8.28515625" style="1" customWidth="1"/>
    <col min="11" max="11" width="10.5703125" style="1" customWidth="1"/>
    <col min="12" max="12" width="11.7109375" style="1" customWidth="1"/>
    <col min="13" max="13" width="10.42578125" style="1" customWidth="1"/>
    <col min="14" max="14" width="14.85546875" style="23" customWidth="1"/>
    <col min="15" max="15" width="10.85546875" style="1" customWidth="1"/>
    <col min="16" max="17" width="9.140625" style="1"/>
    <col min="18" max="18" width="21.85546875" style="20" customWidth="1"/>
    <col min="19" max="19" width="19.85546875" style="20" customWidth="1"/>
    <col min="20" max="20" width="24.28515625" style="20" customWidth="1"/>
    <col min="21" max="21" width="20" style="20" customWidth="1"/>
    <col min="22" max="22" width="15.42578125" style="23" customWidth="1"/>
    <col min="23" max="23" width="13" style="20" customWidth="1"/>
    <col min="24" max="24" width="18" style="20" hidden="1" customWidth="1"/>
    <col min="25" max="25" width="18.42578125" style="20" customWidth="1"/>
    <col min="26" max="26" width="23.5703125" style="1" customWidth="1"/>
    <col min="27" max="27" width="38.5703125" style="1" customWidth="1"/>
    <col min="28" max="28" width="19.85546875" style="1" hidden="1" customWidth="1"/>
    <col min="29" max="29" width="18.140625" style="1" hidden="1" customWidth="1"/>
    <col min="30" max="30" width="9.140625" style="1"/>
    <col min="31" max="31" width="32.7109375" style="1" customWidth="1"/>
    <col min="32" max="16384" width="9.140625" style="1"/>
  </cols>
  <sheetData>
    <row r="1" spans="1:31" ht="81" customHeight="1" x14ac:dyDescent="0.3">
      <c r="A1" s="67" t="s">
        <v>102</v>
      </c>
      <c r="B1" s="68"/>
      <c r="C1" s="68"/>
      <c r="D1" s="68"/>
      <c r="E1" s="68"/>
      <c r="F1" s="68"/>
      <c r="G1" s="68"/>
      <c r="H1" s="68"/>
      <c r="I1" s="68"/>
      <c r="J1" s="68"/>
      <c r="K1" s="68"/>
      <c r="L1" s="68"/>
      <c r="M1" s="68"/>
      <c r="N1" s="68"/>
      <c r="O1" s="68"/>
      <c r="P1" s="68"/>
      <c r="Q1" s="68"/>
      <c r="R1" s="68"/>
      <c r="S1" s="68"/>
      <c r="T1" s="68"/>
      <c r="U1" s="68"/>
      <c r="V1" s="68"/>
      <c r="W1" s="68"/>
      <c r="X1" s="68"/>
      <c r="Y1" s="68"/>
      <c r="Z1" s="68"/>
      <c r="AA1" s="69"/>
    </row>
    <row r="2" spans="1:31" ht="93.75" x14ac:dyDescent="0.3">
      <c r="A2" s="45" t="s">
        <v>0</v>
      </c>
      <c r="B2" s="45" t="s">
        <v>1</v>
      </c>
      <c r="C2" s="45" t="s">
        <v>2</v>
      </c>
      <c r="D2" s="3" t="s">
        <v>3</v>
      </c>
      <c r="E2" s="3" t="s">
        <v>4</v>
      </c>
      <c r="F2" s="45" t="s">
        <v>70</v>
      </c>
      <c r="G2" s="70" t="s">
        <v>100</v>
      </c>
      <c r="H2" s="71"/>
      <c r="I2" s="70" t="s">
        <v>99</v>
      </c>
      <c r="J2" s="72"/>
      <c r="K2" s="71"/>
      <c r="L2" s="45" t="s">
        <v>68</v>
      </c>
      <c r="M2" s="45" t="s">
        <v>67</v>
      </c>
      <c r="N2" s="73" t="s">
        <v>66</v>
      </c>
      <c r="O2" s="45" t="s">
        <v>5</v>
      </c>
      <c r="P2" s="45" t="s">
        <v>6</v>
      </c>
      <c r="Q2" s="45" t="s">
        <v>7</v>
      </c>
      <c r="R2" s="75" t="s">
        <v>8</v>
      </c>
      <c r="S2" s="76"/>
      <c r="T2" s="76"/>
      <c r="U2" s="77"/>
      <c r="V2" s="75" t="s">
        <v>9</v>
      </c>
      <c r="W2" s="76"/>
      <c r="X2" s="76"/>
      <c r="Y2" s="76"/>
      <c r="Z2" s="78" t="s">
        <v>10</v>
      </c>
      <c r="AA2" s="45" t="s">
        <v>11</v>
      </c>
    </row>
    <row r="3" spans="1:31" ht="93.75" x14ac:dyDescent="0.3">
      <c r="A3" s="46"/>
      <c r="B3" s="46"/>
      <c r="C3" s="46"/>
      <c r="D3" s="3"/>
      <c r="E3" s="2"/>
      <c r="F3" s="46"/>
      <c r="G3" s="2" t="s">
        <v>12</v>
      </c>
      <c r="H3" s="2" t="s">
        <v>69</v>
      </c>
      <c r="I3" s="2" t="s">
        <v>13</v>
      </c>
      <c r="J3" s="2" t="s">
        <v>14</v>
      </c>
      <c r="K3" s="2" t="s">
        <v>15</v>
      </c>
      <c r="L3" s="46"/>
      <c r="M3" s="46"/>
      <c r="N3" s="74"/>
      <c r="O3" s="46"/>
      <c r="P3" s="46"/>
      <c r="Q3" s="46"/>
      <c r="R3" s="5" t="s">
        <v>16</v>
      </c>
      <c r="S3" s="5" t="s">
        <v>17</v>
      </c>
      <c r="T3" s="5" t="s">
        <v>18</v>
      </c>
      <c r="U3" s="5" t="s">
        <v>19</v>
      </c>
      <c r="V3" s="6" t="s">
        <v>20</v>
      </c>
      <c r="W3" s="5" t="s">
        <v>21</v>
      </c>
      <c r="X3" s="5" t="s">
        <v>22</v>
      </c>
      <c r="Y3" s="5" t="s">
        <v>22</v>
      </c>
      <c r="Z3" s="79"/>
      <c r="AA3" s="46"/>
    </row>
    <row r="4" spans="1:31" ht="27" customHeight="1" x14ac:dyDescent="0.3">
      <c r="A4" s="4"/>
      <c r="B4" s="4" t="s">
        <v>23</v>
      </c>
      <c r="C4" s="4"/>
      <c r="D4" s="3"/>
      <c r="E4" s="2"/>
      <c r="F4" s="7"/>
      <c r="G4" s="2"/>
      <c r="H4" s="2"/>
      <c r="I4" s="2"/>
      <c r="J4" s="2"/>
      <c r="K4" s="2"/>
      <c r="L4" s="29">
        <f>SUM(L5:L44)</f>
        <v>3668.4</v>
      </c>
      <c r="M4" s="29">
        <f>SUM(M5:M47)</f>
        <v>350.39999999999992</v>
      </c>
      <c r="N4" s="29">
        <f>SUM(N5:N47)</f>
        <v>4018.7999999999997</v>
      </c>
      <c r="O4" s="4"/>
      <c r="P4" s="4"/>
      <c r="Q4" s="4"/>
      <c r="R4" s="5">
        <f>SUM(R5:R47)</f>
        <v>361692000</v>
      </c>
      <c r="S4" s="5">
        <f>SUM(S5:S47)</f>
        <v>1085076000</v>
      </c>
      <c r="T4" s="5">
        <f>SUM(T5:T44)</f>
        <v>114750000</v>
      </c>
      <c r="U4" s="5">
        <f>SUM(U5:U47)</f>
        <v>1561518000</v>
      </c>
      <c r="V4" s="6"/>
      <c r="W4" s="5"/>
      <c r="X4" s="5">
        <f>SUM(X5:X47)</f>
        <v>40188000</v>
      </c>
      <c r="Y4" s="34">
        <f>SUM(Y5:Y47)</f>
        <v>40188000</v>
      </c>
      <c r="Z4" s="35">
        <f>SUM(Z5:Z47)</f>
        <v>1601706000</v>
      </c>
      <c r="AA4" s="4"/>
      <c r="AB4" s="20"/>
      <c r="AC4" s="27"/>
    </row>
    <row r="5" spans="1:31" ht="103.5" customHeight="1" x14ac:dyDescent="0.3">
      <c r="A5" s="8">
        <v>1</v>
      </c>
      <c r="B5" s="9" t="s">
        <v>71</v>
      </c>
      <c r="C5" s="8">
        <v>5</v>
      </c>
      <c r="D5" s="10">
        <v>3924</v>
      </c>
      <c r="E5" s="11">
        <f>572+42.3</f>
        <v>614.29999999999995</v>
      </c>
      <c r="F5" s="30">
        <f>D5-E5</f>
        <v>3309.7</v>
      </c>
      <c r="G5" s="12" t="s">
        <v>24</v>
      </c>
      <c r="H5" s="13">
        <v>344</v>
      </c>
      <c r="I5" s="8">
        <v>44</v>
      </c>
      <c r="J5" s="8">
        <v>294</v>
      </c>
      <c r="K5" s="8" t="s">
        <v>25</v>
      </c>
      <c r="L5" s="28">
        <v>61</v>
      </c>
      <c r="M5" s="8"/>
      <c r="N5" s="28">
        <v>61</v>
      </c>
      <c r="O5" s="14">
        <f t="shared" ref="O5:O44" si="0">N5/F5</f>
        <v>1.8430673474937306E-2</v>
      </c>
      <c r="P5" s="8">
        <v>2</v>
      </c>
      <c r="Q5" s="8">
        <v>4</v>
      </c>
      <c r="R5" s="25">
        <f t="shared" ref="R5:R46" si="1">N5*90000</f>
        <v>5490000</v>
      </c>
      <c r="S5" s="25">
        <f t="shared" ref="S5:S46" si="2">N5*3*90000</f>
        <v>16470000</v>
      </c>
      <c r="T5" s="25">
        <f>P5*Q5*30*17000</f>
        <v>4080000</v>
      </c>
      <c r="U5" s="25">
        <f>R5+S5+T5</f>
        <v>26040000</v>
      </c>
      <c r="V5" s="25" t="s">
        <v>26</v>
      </c>
      <c r="W5" s="25">
        <v>10000</v>
      </c>
      <c r="X5" s="25">
        <f t="shared" ref="X5:X46" si="3">N5*W5</f>
        <v>610000</v>
      </c>
      <c r="Y5" s="25">
        <f t="shared" ref="Y5:Y46" si="4">N5*W5</f>
        <v>610000</v>
      </c>
      <c r="Z5" s="25">
        <f>SUM(U5,Y5)</f>
        <v>26650000</v>
      </c>
      <c r="AA5" s="25"/>
      <c r="AB5" s="20"/>
      <c r="AC5" s="27"/>
      <c r="AE5" s="27"/>
    </row>
    <row r="6" spans="1:31" ht="73.5" customHeight="1" x14ac:dyDescent="0.3">
      <c r="A6" s="8">
        <v>2</v>
      </c>
      <c r="B6" s="9" t="s">
        <v>72</v>
      </c>
      <c r="C6" s="8">
        <v>3</v>
      </c>
      <c r="D6" s="10">
        <v>2280</v>
      </c>
      <c r="E6" s="8">
        <f>369+203</f>
        <v>572</v>
      </c>
      <c r="F6" s="30">
        <f>D6-E6</f>
        <v>1708</v>
      </c>
      <c r="G6" s="12" t="s">
        <v>27</v>
      </c>
      <c r="H6" s="13">
        <v>260</v>
      </c>
      <c r="I6" s="8">
        <v>44</v>
      </c>
      <c r="J6" s="8">
        <v>293</v>
      </c>
      <c r="K6" s="8" t="s">
        <v>25</v>
      </c>
      <c r="L6" s="28">
        <v>63.3</v>
      </c>
      <c r="M6" s="8"/>
      <c r="N6" s="28">
        <v>63.3</v>
      </c>
      <c r="O6" s="14">
        <f t="shared" si="0"/>
        <v>3.7060889929742387E-2</v>
      </c>
      <c r="P6" s="8">
        <v>2</v>
      </c>
      <c r="Q6" s="8">
        <v>4</v>
      </c>
      <c r="R6" s="25">
        <f t="shared" si="1"/>
        <v>5697000</v>
      </c>
      <c r="S6" s="25">
        <f>N6*3*90000</f>
        <v>17090999.999999996</v>
      </c>
      <c r="T6" s="25">
        <f t="shared" ref="T6:T43" si="5">P6*Q6*30*17000</f>
        <v>4080000</v>
      </c>
      <c r="U6" s="25">
        <f>R6+S6+T6</f>
        <v>26867999.999999996</v>
      </c>
      <c r="V6" s="25" t="s">
        <v>26</v>
      </c>
      <c r="W6" s="25">
        <v>10000</v>
      </c>
      <c r="X6" s="25">
        <f t="shared" si="3"/>
        <v>633000</v>
      </c>
      <c r="Y6" s="25">
        <f t="shared" si="4"/>
        <v>633000</v>
      </c>
      <c r="Z6" s="25">
        <f>SUM(U6,Y6)</f>
        <v>27500999.999999996</v>
      </c>
      <c r="AA6" s="25"/>
      <c r="AB6" s="20"/>
      <c r="AC6" s="27"/>
    </row>
    <row r="7" spans="1:31" ht="96.75" customHeight="1" x14ac:dyDescent="0.3">
      <c r="A7" s="8">
        <v>3</v>
      </c>
      <c r="B7" s="9" t="s">
        <v>73</v>
      </c>
      <c r="C7" s="8">
        <v>4</v>
      </c>
      <c r="D7" s="10"/>
      <c r="E7" s="8"/>
      <c r="F7" s="30">
        <v>2402</v>
      </c>
      <c r="G7" s="12" t="s">
        <v>65</v>
      </c>
      <c r="H7" s="13">
        <v>286</v>
      </c>
      <c r="I7" s="8">
        <v>45</v>
      </c>
      <c r="J7" s="8">
        <v>7</v>
      </c>
      <c r="K7" s="8" t="s">
        <v>25</v>
      </c>
      <c r="L7" s="28">
        <v>141.6</v>
      </c>
      <c r="M7" s="8"/>
      <c r="N7" s="28">
        <v>141.6</v>
      </c>
      <c r="O7" s="14">
        <f t="shared" si="0"/>
        <v>5.8950874271440461E-2</v>
      </c>
      <c r="P7" s="8">
        <v>2</v>
      </c>
      <c r="Q7" s="8">
        <v>2</v>
      </c>
      <c r="R7" s="25">
        <f t="shared" si="1"/>
        <v>12744000</v>
      </c>
      <c r="S7" s="25">
        <f>N7*3*90000</f>
        <v>38231999.999999993</v>
      </c>
      <c r="T7" s="25">
        <f t="shared" si="5"/>
        <v>2040000</v>
      </c>
      <c r="U7" s="25">
        <f>R7+S7+T7</f>
        <v>53015999.999999993</v>
      </c>
      <c r="V7" s="25" t="s">
        <v>26</v>
      </c>
      <c r="W7" s="25">
        <v>10000</v>
      </c>
      <c r="X7" s="25">
        <f t="shared" si="3"/>
        <v>1416000</v>
      </c>
      <c r="Y7" s="25">
        <f t="shared" si="4"/>
        <v>1416000</v>
      </c>
      <c r="Z7" s="25">
        <f>SUM(U7,Y7)</f>
        <v>54431999.999999993</v>
      </c>
      <c r="AA7" s="25"/>
      <c r="AB7" s="20"/>
      <c r="AC7" s="27"/>
    </row>
    <row r="8" spans="1:31" ht="105" customHeight="1" x14ac:dyDescent="0.3">
      <c r="A8" s="8">
        <v>4</v>
      </c>
      <c r="B8" s="9" t="s">
        <v>74</v>
      </c>
      <c r="C8" s="8">
        <v>5</v>
      </c>
      <c r="D8" s="10">
        <v>3960</v>
      </c>
      <c r="E8" s="8">
        <v>413</v>
      </c>
      <c r="F8" s="30">
        <f>D8-E8</f>
        <v>3547</v>
      </c>
      <c r="G8" s="12" t="s">
        <v>28</v>
      </c>
      <c r="H8" s="13">
        <v>396</v>
      </c>
      <c r="I8" s="8">
        <v>45</v>
      </c>
      <c r="J8" s="8">
        <v>75</v>
      </c>
      <c r="K8" s="8" t="s">
        <v>25</v>
      </c>
      <c r="L8" s="28">
        <v>4.5</v>
      </c>
      <c r="M8" s="8"/>
      <c r="N8" s="28">
        <v>4.5</v>
      </c>
      <c r="O8" s="14">
        <f t="shared" si="0"/>
        <v>1.268677755850014E-3</v>
      </c>
      <c r="P8" s="8">
        <v>2</v>
      </c>
      <c r="Q8" s="8">
        <v>6</v>
      </c>
      <c r="R8" s="25">
        <f t="shared" si="1"/>
        <v>405000</v>
      </c>
      <c r="S8" s="25">
        <f t="shared" si="2"/>
        <v>1215000</v>
      </c>
      <c r="T8" s="25">
        <f t="shared" si="5"/>
        <v>6120000</v>
      </c>
      <c r="U8" s="25">
        <f t="shared" ref="U8:U46" si="6">R8+S8+T8</f>
        <v>7740000</v>
      </c>
      <c r="V8" s="25" t="s">
        <v>26</v>
      </c>
      <c r="W8" s="25">
        <v>10000</v>
      </c>
      <c r="X8" s="25">
        <f t="shared" si="3"/>
        <v>45000</v>
      </c>
      <c r="Y8" s="25">
        <f t="shared" si="4"/>
        <v>45000</v>
      </c>
      <c r="Z8" s="25">
        <f>SUM(U8,Y8)</f>
        <v>7785000</v>
      </c>
      <c r="AA8" s="25"/>
      <c r="AB8" s="20"/>
      <c r="AC8" s="27"/>
    </row>
    <row r="9" spans="1:31" ht="41.25" customHeight="1" x14ac:dyDescent="0.3">
      <c r="A9" s="48">
        <v>5</v>
      </c>
      <c r="B9" s="47" t="s">
        <v>75</v>
      </c>
      <c r="C9" s="59">
        <v>4</v>
      </c>
      <c r="D9" s="59">
        <v>3168</v>
      </c>
      <c r="E9" s="41">
        <f>491+390+55.1</f>
        <v>936.1</v>
      </c>
      <c r="F9" s="56">
        <f>D9-E9</f>
        <v>2231.9</v>
      </c>
      <c r="G9" s="12" t="s">
        <v>29</v>
      </c>
      <c r="H9" s="13">
        <v>223</v>
      </c>
      <c r="I9" s="8">
        <v>45</v>
      </c>
      <c r="J9" s="8">
        <v>161</v>
      </c>
      <c r="K9" s="8" t="s">
        <v>25</v>
      </c>
      <c r="L9" s="28">
        <v>178.5</v>
      </c>
      <c r="M9" s="22">
        <v>44.5</v>
      </c>
      <c r="N9" s="49">
        <f>L9+L10+M9</f>
        <v>363.8</v>
      </c>
      <c r="O9" s="62">
        <f t="shared" si="0"/>
        <v>0.1630001344146243</v>
      </c>
      <c r="P9" s="41">
        <v>3</v>
      </c>
      <c r="Q9" s="41">
        <v>4</v>
      </c>
      <c r="R9" s="37">
        <f t="shared" si="1"/>
        <v>32742000</v>
      </c>
      <c r="S9" s="37">
        <f t="shared" si="2"/>
        <v>98226000.000000015</v>
      </c>
      <c r="T9" s="37">
        <f t="shared" si="5"/>
        <v>6120000</v>
      </c>
      <c r="U9" s="37">
        <f t="shared" si="6"/>
        <v>137088000</v>
      </c>
      <c r="V9" s="37" t="s">
        <v>26</v>
      </c>
      <c r="W9" s="37">
        <v>10000</v>
      </c>
      <c r="X9" s="37">
        <f t="shared" si="3"/>
        <v>3638000</v>
      </c>
      <c r="Y9" s="37">
        <f t="shared" si="4"/>
        <v>3638000</v>
      </c>
      <c r="Z9" s="37">
        <f>SUM(U9,Y9)</f>
        <v>140726000</v>
      </c>
      <c r="AA9" s="37"/>
      <c r="AB9" s="20"/>
      <c r="AC9" s="27"/>
    </row>
    <row r="10" spans="1:31" ht="41.25" customHeight="1" x14ac:dyDescent="0.3">
      <c r="A10" s="48"/>
      <c r="B10" s="47"/>
      <c r="C10" s="61"/>
      <c r="D10" s="61"/>
      <c r="E10" s="42"/>
      <c r="F10" s="58"/>
      <c r="G10" s="12" t="s">
        <v>30</v>
      </c>
      <c r="H10" s="13">
        <v>243</v>
      </c>
      <c r="I10" s="8">
        <v>45</v>
      </c>
      <c r="J10" s="8">
        <v>1070</v>
      </c>
      <c r="K10" s="8" t="s">
        <v>25</v>
      </c>
      <c r="L10" s="28">
        <v>140.80000000000001</v>
      </c>
      <c r="M10" s="22"/>
      <c r="N10" s="50"/>
      <c r="O10" s="63"/>
      <c r="P10" s="42"/>
      <c r="Q10" s="42"/>
      <c r="R10" s="38"/>
      <c r="S10" s="38"/>
      <c r="T10" s="38"/>
      <c r="U10" s="38"/>
      <c r="V10" s="38"/>
      <c r="W10" s="38"/>
      <c r="X10" s="38"/>
      <c r="Y10" s="38"/>
      <c r="Z10" s="38"/>
      <c r="AA10" s="38"/>
      <c r="AB10" s="20"/>
      <c r="AC10" s="27"/>
    </row>
    <row r="11" spans="1:31" ht="70.5" customHeight="1" x14ac:dyDescent="0.3">
      <c r="A11" s="8">
        <v>6</v>
      </c>
      <c r="B11" s="9" t="s">
        <v>76</v>
      </c>
      <c r="C11" s="8">
        <v>2</v>
      </c>
      <c r="D11" s="10">
        <v>1584</v>
      </c>
      <c r="E11" s="8">
        <f>252+221</f>
        <v>473</v>
      </c>
      <c r="F11" s="21">
        <f>D11-E11</f>
        <v>1111</v>
      </c>
      <c r="G11" s="12" t="s">
        <v>31</v>
      </c>
      <c r="H11" s="13">
        <v>142</v>
      </c>
      <c r="I11" s="8">
        <v>45</v>
      </c>
      <c r="J11" s="8">
        <v>177</v>
      </c>
      <c r="K11" s="8" t="s">
        <v>25</v>
      </c>
      <c r="L11" s="28">
        <v>139.4</v>
      </c>
      <c r="M11" s="8">
        <v>2.6</v>
      </c>
      <c r="N11" s="28">
        <f>L11+M11</f>
        <v>142</v>
      </c>
      <c r="O11" s="14">
        <f t="shared" si="0"/>
        <v>0.12781278127812781</v>
      </c>
      <c r="P11" s="8">
        <v>3</v>
      </c>
      <c r="Q11" s="8">
        <v>0</v>
      </c>
      <c r="R11" s="25">
        <f t="shared" si="1"/>
        <v>12780000</v>
      </c>
      <c r="S11" s="25">
        <f t="shared" si="2"/>
        <v>38340000</v>
      </c>
      <c r="T11" s="25"/>
      <c r="U11" s="25">
        <f t="shared" si="6"/>
        <v>51120000</v>
      </c>
      <c r="V11" s="25" t="s">
        <v>26</v>
      </c>
      <c r="W11" s="25">
        <v>10000</v>
      </c>
      <c r="X11" s="25">
        <f t="shared" si="3"/>
        <v>1420000</v>
      </c>
      <c r="Y11" s="25">
        <f t="shared" si="4"/>
        <v>1420000</v>
      </c>
      <c r="Z11" s="25">
        <f>SUM(U11,Y11)</f>
        <v>52540000</v>
      </c>
      <c r="AA11" s="25"/>
      <c r="AB11" s="20"/>
      <c r="AC11" s="27"/>
    </row>
    <row r="12" spans="1:31" ht="49.5" customHeight="1" x14ac:dyDescent="0.3">
      <c r="A12" s="48">
        <v>7</v>
      </c>
      <c r="B12" s="47" t="s">
        <v>77</v>
      </c>
      <c r="C12" s="59">
        <v>2.5</v>
      </c>
      <c r="D12" s="59">
        <v>1998</v>
      </c>
      <c r="E12" s="41">
        <f>198+232</f>
        <v>430</v>
      </c>
      <c r="F12" s="49">
        <f>D12-E12</f>
        <v>1568</v>
      </c>
      <c r="G12" s="12" t="s">
        <v>32</v>
      </c>
      <c r="H12" s="13">
        <v>113</v>
      </c>
      <c r="I12" s="8">
        <v>45</v>
      </c>
      <c r="J12" s="8">
        <v>200</v>
      </c>
      <c r="K12" s="8" t="s">
        <v>25</v>
      </c>
      <c r="L12" s="28">
        <v>113</v>
      </c>
      <c r="M12" s="8"/>
      <c r="N12" s="40">
        <f>L12+L13</f>
        <v>210</v>
      </c>
      <c r="O12" s="62">
        <f t="shared" si="0"/>
        <v>0.13392857142857142</v>
      </c>
      <c r="P12" s="41">
        <v>3</v>
      </c>
      <c r="Q12" s="41">
        <v>5</v>
      </c>
      <c r="R12" s="37">
        <f t="shared" si="1"/>
        <v>18900000</v>
      </c>
      <c r="S12" s="37">
        <f t="shared" si="2"/>
        <v>56700000</v>
      </c>
      <c r="T12" s="37">
        <f t="shared" si="5"/>
        <v>7650000</v>
      </c>
      <c r="U12" s="37">
        <f t="shared" si="6"/>
        <v>83250000</v>
      </c>
      <c r="V12" s="37" t="s">
        <v>26</v>
      </c>
      <c r="W12" s="37">
        <v>10000</v>
      </c>
      <c r="X12" s="37">
        <f t="shared" si="3"/>
        <v>2100000</v>
      </c>
      <c r="Y12" s="37">
        <f t="shared" si="4"/>
        <v>2100000</v>
      </c>
      <c r="Z12" s="37">
        <f>SUM(U12,Y12)</f>
        <v>85350000</v>
      </c>
      <c r="AA12" s="37"/>
      <c r="AB12" s="20"/>
      <c r="AC12" s="27"/>
    </row>
    <row r="13" spans="1:31" ht="47.25" customHeight="1" x14ac:dyDescent="0.3">
      <c r="A13" s="48"/>
      <c r="B13" s="47"/>
      <c r="C13" s="61"/>
      <c r="D13" s="61"/>
      <c r="E13" s="42"/>
      <c r="F13" s="50"/>
      <c r="G13" s="12" t="s">
        <v>33</v>
      </c>
      <c r="H13" s="13">
        <v>235</v>
      </c>
      <c r="I13" s="8">
        <v>45</v>
      </c>
      <c r="J13" s="8">
        <v>1068</v>
      </c>
      <c r="K13" s="8" t="s">
        <v>25</v>
      </c>
      <c r="L13" s="28">
        <v>97</v>
      </c>
      <c r="M13" s="8"/>
      <c r="N13" s="40"/>
      <c r="O13" s="63"/>
      <c r="P13" s="42"/>
      <c r="Q13" s="42"/>
      <c r="R13" s="38"/>
      <c r="S13" s="38"/>
      <c r="T13" s="38"/>
      <c r="U13" s="38"/>
      <c r="V13" s="38"/>
      <c r="W13" s="38"/>
      <c r="X13" s="38"/>
      <c r="Y13" s="38"/>
      <c r="Z13" s="38"/>
      <c r="AA13" s="38"/>
      <c r="AB13" s="20"/>
      <c r="AC13" s="27"/>
    </row>
    <row r="14" spans="1:31" ht="111" customHeight="1" x14ac:dyDescent="0.3">
      <c r="A14" s="8">
        <v>8</v>
      </c>
      <c r="B14" s="9" t="s">
        <v>78</v>
      </c>
      <c r="C14" s="8">
        <v>5</v>
      </c>
      <c r="D14" s="10">
        <v>3960</v>
      </c>
      <c r="E14" s="8">
        <f>196.5+383.8+372+14.2+180.6</f>
        <v>1147.0999999999999</v>
      </c>
      <c r="F14" s="28">
        <f>D14-E14</f>
        <v>2812.9</v>
      </c>
      <c r="G14" s="12" t="s">
        <v>34</v>
      </c>
      <c r="H14" s="13">
        <v>371</v>
      </c>
      <c r="I14" s="8">
        <v>45</v>
      </c>
      <c r="J14" s="8">
        <v>212</v>
      </c>
      <c r="K14" s="8" t="s">
        <v>25</v>
      </c>
      <c r="L14" s="28">
        <v>1.8</v>
      </c>
      <c r="M14" s="8"/>
      <c r="N14" s="28">
        <v>1.8</v>
      </c>
      <c r="O14" s="14">
        <f t="shared" si="0"/>
        <v>6.3990899072131967E-4</v>
      </c>
      <c r="P14" s="8">
        <v>2</v>
      </c>
      <c r="Q14" s="8">
        <v>4</v>
      </c>
      <c r="R14" s="25">
        <f t="shared" si="1"/>
        <v>162000</v>
      </c>
      <c r="S14" s="25">
        <f t="shared" si="2"/>
        <v>486000.00000000006</v>
      </c>
      <c r="T14" s="25">
        <f t="shared" si="5"/>
        <v>4080000</v>
      </c>
      <c r="U14" s="25">
        <f t="shared" si="6"/>
        <v>4728000</v>
      </c>
      <c r="V14" s="25" t="s">
        <v>26</v>
      </c>
      <c r="W14" s="25">
        <v>10000</v>
      </c>
      <c r="X14" s="25">
        <f t="shared" si="3"/>
        <v>18000</v>
      </c>
      <c r="Y14" s="25">
        <f t="shared" si="4"/>
        <v>18000</v>
      </c>
      <c r="Z14" s="25">
        <f>SUM(U14,Y14)</f>
        <v>4746000</v>
      </c>
      <c r="AA14" s="25"/>
      <c r="AB14" s="20"/>
      <c r="AC14" s="27"/>
    </row>
    <row r="15" spans="1:31" ht="62.25" customHeight="1" x14ac:dyDescent="0.3">
      <c r="A15" s="41">
        <v>9</v>
      </c>
      <c r="B15" s="43" t="s">
        <v>79</v>
      </c>
      <c r="C15" s="41">
        <v>5</v>
      </c>
      <c r="D15" s="59">
        <v>4056</v>
      </c>
      <c r="E15" s="41">
        <f>597+106.3+385.7</f>
        <v>1089</v>
      </c>
      <c r="F15" s="49">
        <f>D15-E15</f>
        <v>2967</v>
      </c>
      <c r="G15" s="64" t="s">
        <v>35</v>
      </c>
      <c r="H15" s="51">
        <v>347</v>
      </c>
      <c r="I15" s="8">
        <v>45</v>
      </c>
      <c r="J15" s="8">
        <v>256</v>
      </c>
      <c r="K15" s="8" t="s">
        <v>25</v>
      </c>
      <c r="L15" s="28">
        <v>230.3</v>
      </c>
      <c r="M15" s="8"/>
      <c r="N15" s="40">
        <f>L15+L16</f>
        <v>244.10000000000002</v>
      </c>
      <c r="O15" s="62">
        <f t="shared" si="0"/>
        <v>8.2271654870239311E-2</v>
      </c>
      <c r="P15" s="41">
        <v>2</v>
      </c>
      <c r="Q15" s="41">
        <v>3</v>
      </c>
      <c r="R15" s="37">
        <f t="shared" si="1"/>
        <v>21969000.000000004</v>
      </c>
      <c r="S15" s="37">
        <f t="shared" si="2"/>
        <v>65907000.000000007</v>
      </c>
      <c r="T15" s="37">
        <f t="shared" si="5"/>
        <v>3060000</v>
      </c>
      <c r="U15" s="37">
        <f t="shared" si="6"/>
        <v>90936000.000000015</v>
      </c>
      <c r="V15" s="37" t="s">
        <v>26</v>
      </c>
      <c r="W15" s="37">
        <v>10000</v>
      </c>
      <c r="X15" s="37">
        <f t="shared" si="3"/>
        <v>2441000</v>
      </c>
      <c r="Y15" s="37">
        <f t="shared" si="4"/>
        <v>2441000</v>
      </c>
      <c r="Z15" s="37">
        <f>SUM(U15,Y15)</f>
        <v>93377000.000000015</v>
      </c>
      <c r="AA15" s="37"/>
      <c r="AB15" s="20"/>
      <c r="AC15" s="27"/>
    </row>
    <row r="16" spans="1:31" ht="47.25" customHeight="1" x14ac:dyDescent="0.3">
      <c r="A16" s="42"/>
      <c r="B16" s="44"/>
      <c r="C16" s="42"/>
      <c r="D16" s="61"/>
      <c r="E16" s="42"/>
      <c r="F16" s="50"/>
      <c r="G16" s="66"/>
      <c r="H16" s="53"/>
      <c r="I16" s="8">
        <v>45</v>
      </c>
      <c r="J16" s="8">
        <v>261</v>
      </c>
      <c r="K16" s="8" t="s">
        <v>25</v>
      </c>
      <c r="L16" s="28">
        <v>13.8</v>
      </c>
      <c r="M16" s="8"/>
      <c r="N16" s="40"/>
      <c r="O16" s="63"/>
      <c r="P16" s="42"/>
      <c r="Q16" s="42"/>
      <c r="R16" s="38"/>
      <c r="S16" s="38"/>
      <c r="T16" s="38"/>
      <c r="U16" s="38"/>
      <c r="V16" s="38"/>
      <c r="W16" s="38"/>
      <c r="X16" s="38"/>
      <c r="Y16" s="38"/>
      <c r="Z16" s="38"/>
      <c r="AA16" s="38"/>
      <c r="AB16" s="20"/>
      <c r="AC16" s="27"/>
    </row>
    <row r="17" spans="1:29" ht="35.25" customHeight="1" x14ac:dyDescent="0.3">
      <c r="A17" s="41">
        <v>10</v>
      </c>
      <c r="B17" s="43" t="s">
        <v>80</v>
      </c>
      <c r="C17" s="41">
        <v>5</v>
      </c>
      <c r="D17" s="59">
        <v>3960</v>
      </c>
      <c r="E17" s="41">
        <f>510+566+380</f>
        <v>1456</v>
      </c>
      <c r="F17" s="56">
        <f>D17-E17</f>
        <v>2504</v>
      </c>
      <c r="G17" s="64" t="s">
        <v>36</v>
      </c>
      <c r="H17" s="51">
        <v>221</v>
      </c>
      <c r="I17" s="8">
        <v>45</v>
      </c>
      <c r="J17" s="8">
        <v>287</v>
      </c>
      <c r="K17" s="8" t="s">
        <v>25</v>
      </c>
      <c r="L17" s="28">
        <v>150.80000000000001</v>
      </c>
      <c r="M17" s="8">
        <v>45</v>
      </c>
      <c r="N17" s="40">
        <f>L17+L18+L19+M17</f>
        <v>221</v>
      </c>
      <c r="O17" s="62">
        <f t="shared" si="0"/>
        <v>8.8258785942492007E-2</v>
      </c>
      <c r="P17" s="41">
        <v>2</v>
      </c>
      <c r="Q17" s="41">
        <v>4</v>
      </c>
      <c r="R17" s="37">
        <f t="shared" si="1"/>
        <v>19890000</v>
      </c>
      <c r="S17" s="37">
        <f t="shared" si="2"/>
        <v>59670000</v>
      </c>
      <c r="T17" s="37">
        <f t="shared" si="5"/>
        <v>4080000</v>
      </c>
      <c r="U17" s="37">
        <f t="shared" si="6"/>
        <v>83640000</v>
      </c>
      <c r="V17" s="37" t="s">
        <v>26</v>
      </c>
      <c r="W17" s="37">
        <v>10000</v>
      </c>
      <c r="X17" s="37">
        <f t="shared" si="3"/>
        <v>2210000</v>
      </c>
      <c r="Y17" s="37">
        <f t="shared" si="4"/>
        <v>2210000</v>
      </c>
      <c r="Z17" s="37">
        <f>SUM(U17,Y17)</f>
        <v>85850000</v>
      </c>
      <c r="AA17" s="37"/>
      <c r="AB17" s="20"/>
      <c r="AC17" s="27"/>
    </row>
    <row r="18" spans="1:29" ht="39" customHeight="1" x14ac:dyDescent="0.3">
      <c r="A18" s="54"/>
      <c r="B18" s="55"/>
      <c r="C18" s="54"/>
      <c r="D18" s="60"/>
      <c r="E18" s="54"/>
      <c r="F18" s="57"/>
      <c r="G18" s="65"/>
      <c r="H18" s="52"/>
      <c r="I18" s="8">
        <v>45</v>
      </c>
      <c r="J18" s="8">
        <v>279</v>
      </c>
      <c r="K18" s="8" t="s">
        <v>25</v>
      </c>
      <c r="L18" s="28">
        <v>19</v>
      </c>
      <c r="M18" s="8"/>
      <c r="N18" s="40"/>
      <c r="O18" s="80"/>
      <c r="P18" s="54"/>
      <c r="Q18" s="54"/>
      <c r="R18" s="39"/>
      <c r="S18" s="39"/>
      <c r="T18" s="39"/>
      <c r="U18" s="39"/>
      <c r="V18" s="39"/>
      <c r="W18" s="39"/>
      <c r="X18" s="39"/>
      <c r="Y18" s="39"/>
      <c r="Z18" s="39"/>
      <c r="AA18" s="39"/>
      <c r="AB18" s="20"/>
      <c r="AC18" s="27"/>
    </row>
    <row r="19" spans="1:29" ht="29.25" customHeight="1" x14ac:dyDescent="0.3">
      <c r="A19" s="42"/>
      <c r="B19" s="44"/>
      <c r="C19" s="42"/>
      <c r="D19" s="61"/>
      <c r="E19" s="42"/>
      <c r="F19" s="58"/>
      <c r="G19" s="66"/>
      <c r="H19" s="53"/>
      <c r="I19" s="8">
        <v>45</v>
      </c>
      <c r="J19" s="8">
        <v>291</v>
      </c>
      <c r="K19" s="8" t="s">
        <v>25</v>
      </c>
      <c r="L19" s="28">
        <v>6.2</v>
      </c>
      <c r="M19" s="8"/>
      <c r="N19" s="40"/>
      <c r="O19" s="63"/>
      <c r="P19" s="42"/>
      <c r="Q19" s="42"/>
      <c r="R19" s="38"/>
      <c r="S19" s="38"/>
      <c r="T19" s="38"/>
      <c r="U19" s="38"/>
      <c r="V19" s="38"/>
      <c r="W19" s="38"/>
      <c r="X19" s="38"/>
      <c r="Y19" s="38"/>
      <c r="Z19" s="38"/>
      <c r="AA19" s="38"/>
      <c r="AB19" s="20"/>
      <c r="AC19" s="27"/>
    </row>
    <row r="20" spans="1:29" ht="65.25" customHeight="1" x14ac:dyDescent="0.3">
      <c r="A20" s="8">
        <v>11</v>
      </c>
      <c r="B20" s="9" t="s">
        <v>81</v>
      </c>
      <c r="C20" s="8">
        <v>2</v>
      </c>
      <c r="D20" s="10">
        <v>1584</v>
      </c>
      <c r="E20" s="8">
        <f>118.4+246+40.6</f>
        <v>405</v>
      </c>
      <c r="F20" s="28">
        <f>D20-E20</f>
        <v>1179</v>
      </c>
      <c r="G20" s="12" t="s">
        <v>37</v>
      </c>
      <c r="H20" s="13">
        <v>151</v>
      </c>
      <c r="I20" s="8">
        <v>45</v>
      </c>
      <c r="J20" s="8">
        <v>291</v>
      </c>
      <c r="K20" s="8" t="s">
        <v>25</v>
      </c>
      <c r="L20" s="28">
        <v>21</v>
      </c>
      <c r="M20" s="8"/>
      <c r="N20" s="28">
        <v>21</v>
      </c>
      <c r="O20" s="14">
        <f t="shared" si="0"/>
        <v>1.7811704834605598E-2</v>
      </c>
      <c r="P20" s="8">
        <v>2</v>
      </c>
      <c r="Q20" s="8">
        <v>3</v>
      </c>
      <c r="R20" s="25">
        <f t="shared" si="1"/>
        <v>1890000</v>
      </c>
      <c r="S20" s="25">
        <f t="shared" si="2"/>
        <v>5670000</v>
      </c>
      <c r="T20" s="25">
        <f t="shared" si="5"/>
        <v>3060000</v>
      </c>
      <c r="U20" s="25">
        <f t="shared" si="6"/>
        <v>10620000</v>
      </c>
      <c r="V20" s="25" t="s">
        <v>26</v>
      </c>
      <c r="W20" s="25">
        <v>10000</v>
      </c>
      <c r="X20" s="25">
        <f t="shared" si="3"/>
        <v>210000</v>
      </c>
      <c r="Y20" s="25">
        <f t="shared" si="4"/>
        <v>210000</v>
      </c>
      <c r="Z20" s="25">
        <f>SUM(U20,Y20)</f>
        <v>10830000</v>
      </c>
      <c r="AA20" s="25"/>
      <c r="AB20" s="20"/>
      <c r="AC20" s="27"/>
    </row>
    <row r="21" spans="1:29" ht="38.25" customHeight="1" x14ac:dyDescent="0.3">
      <c r="A21" s="41">
        <v>12</v>
      </c>
      <c r="B21" s="43" t="s">
        <v>82</v>
      </c>
      <c r="C21" s="41">
        <v>3</v>
      </c>
      <c r="D21" s="41">
        <v>2280</v>
      </c>
      <c r="E21" s="41">
        <v>410</v>
      </c>
      <c r="F21" s="49">
        <f>D21-E21</f>
        <v>1870</v>
      </c>
      <c r="G21" s="8" t="s">
        <v>38</v>
      </c>
      <c r="H21" s="8">
        <v>227</v>
      </c>
      <c r="I21" s="8">
        <v>45</v>
      </c>
      <c r="J21" s="8">
        <v>1057</v>
      </c>
      <c r="K21" s="8" t="s">
        <v>25</v>
      </c>
      <c r="L21" s="28">
        <v>4.5999999999999996</v>
      </c>
      <c r="M21" s="8"/>
      <c r="N21" s="40">
        <f>L21+L22</f>
        <v>20.9</v>
      </c>
      <c r="O21" s="62">
        <f t="shared" si="0"/>
        <v>1.1176470588235293E-2</v>
      </c>
      <c r="P21" s="41">
        <v>2</v>
      </c>
      <c r="Q21" s="41">
        <v>3</v>
      </c>
      <c r="R21" s="37">
        <f t="shared" si="1"/>
        <v>1880999.9999999998</v>
      </c>
      <c r="S21" s="37">
        <f t="shared" si="2"/>
        <v>5643000</v>
      </c>
      <c r="T21" s="37">
        <f t="shared" si="5"/>
        <v>3060000</v>
      </c>
      <c r="U21" s="37">
        <f t="shared" si="6"/>
        <v>10584000</v>
      </c>
      <c r="V21" s="37" t="s">
        <v>26</v>
      </c>
      <c r="W21" s="37">
        <v>10000</v>
      </c>
      <c r="X21" s="37">
        <f t="shared" si="3"/>
        <v>209000</v>
      </c>
      <c r="Y21" s="37">
        <f t="shared" si="4"/>
        <v>209000</v>
      </c>
      <c r="Z21" s="37">
        <f>SUM(U21,Y21)</f>
        <v>10793000</v>
      </c>
      <c r="AA21" s="37"/>
      <c r="AB21" s="20"/>
      <c r="AC21" s="27"/>
    </row>
    <row r="22" spans="1:29" ht="38.25" customHeight="1" x14ac:dyDescent="0.3">
      <c r="A22" s="42"/>
      <c r="B22" s="44"/>
      <c r="C22" s="42"/>
      <c r="D22" s="42"/>
      <c r="E22" s="42"/>
      <c r="F22" s="50"/>
      <c r="G22" s="8" t="s">
        <v>39</v>
      </c>
      <c r="H22" s="8">
        <v>250</v>
      </c>
      <c r="I22" s="16">
        <v>45</v>
      </c>
      <c r="J22" s="8">
        <v>361</v>
      </c>
      <c r="K22" s="8" t="s">
        <v>25</v>
      </c>
      <c r="L22" s="28">
        <v>16.3</v>
      </c>
      <c r="M22" s="8"/>
      <c r="N22" s="40"/>
      <c r="O22" s="63"/>
      <c r="P22" s="42"/>
      <c r="Q22" s="42"/>
      <c r="R22" s="38"/>
      <c r="S22" s="38"/>
      <c r="T22" s="38"/>
      <c r="U22" s="38"/>
      <c r="V22" s="38"/>
      <c r="W22" s="38"/>
      <c r="X22" s="38"/>
      <c r="Y22" s="38"/>
      <c r="Z22" s="38"/>
      <c r="AA22" s="38"/>
      <c r="AB22" s="20"/>
      <c r="AC22" s="27"/>
    </row>
    <row r="23" spans="1:29" ht="49.5" customHeight="1" x14ac:dyDescent="0.3">
      <c r="A23" s="41">
        <v>13</v>
      </c>
      <c r="B23" s="43" t="s">
        <v>40</v>
      </c>
      <c r="C23" s="41">
        <v>1</v>
      </c>
      <c r="D23" s="41">
        <v>792</v>
      </c>
      <c r="E23" s="41">
        <v>216</v>
      </c>
      <c r="F23" s="49">
        <f>D23-E23</f>
        <v>576</v>
      </c>
      <c r="G23" s="41" t="s">
        <v>41</v>
      </c>
      <c r="H23" s="41">
        <v>302</v>
      </c>
      <c r="I23" s="8">
        <v>45</v>
      </c>
      <c r="J23" s="8">
        <v>335</v>
      </c>
      <c r="K23" s="8" t="s">
        <v>25</v>
      </c>
      <c r="L23" s="28">
        <v>266.89999999999998</v>
      </c>
      <c r="M23" s="8">
        <v>15.3</v>
      </c>
      <c r="N23" s="40">
        <f>L23+L24+M23</f>
        <v>302</v>
      </c>
      <c r="O23" s="62">
        <f t="shared" si="0"/>
        <v>0.52430555555555558</v>
      </c>
      <c r="P23" s="41">
        <v>6</v>
      </c>
      <c r="Q23" s="41">
        <v>1</v>
      </c>
      <c r="R23" s="37">
        <f t="shared" si="1"/>
        <v>27180000</v>
      </c>
      <c r="S23" s="37">
        <f t="shared" si="2"/>
        <v>81540000</v>
      </c>
      <c r="T23" s="37">
        <f t="shared" si="5"/>
        <v>3060000</v>
      </c>
      <c r="U23" s="37">
        <f t="shared" si="6"/>
        <v>111780000</v>
      </c>
      <c r="V23" s="37" t="s">
        <v>26</v>
      </c>
      <c r="W23" s="37">
        <v>10000</v>
      </c>
      <c r="X23" s="37">
        <f t="shared" si="3"/>
        <v>3020000</v>
      </c>
      <c r="Y23" s="37">
        <f t="shared" si="4"/>
        <v>3020000</v>
      </c>
      <c r="Z23" s="37">
        <f>SUM(U23,Y23)</f>
        <v>114800000</v>
      </c>
      <c r="AA23" s="37"/>
      <c r="AB23" s="20"/>
      <c r="AC23" s="27"/>
    </row>
    <row r="24" spans="1:29" ht="49.5" customHeight="1" x14ac:dyDescent="0.3">
      <c r="A24" s="42"/>
      <c r="B24" s="44"/>
      <c r="C24" s="42"/>
      <c r="D24" s="42"/>
      <c r="E24" s="42"/>
      <c r="F24" s="50"/>
      <c r="G24" s="42"/>
      <c r="H24" s="42"/>
      <c r="I24" s="8">
        <v>45</v>
      </c>
      <c r="J24" s="8">
        <v>339</v>
      </c>
      <c r="K24" s="8" t="s">
        <v>25</v>
      </c>
      <c r="L24" s="28">
        <v>19.8</v>
      </c>
      <c r="M24" s="8"/>
      <c r="N24" s="40"/>
      <c r="O24" s="63"/>
      <c r="P24" s="42"/>
      <c r="Q24" s="42"/>
      <c r="R24" s="38"/>
      <c r="S24" s="38"/>
      <c r="T24" s="38"/>
      <c r="U24" s="38"/>
      <c r="V24" s="38"/>
      <c r="W24" s="38"/>
      <c r="X24" s="38"/>
      <c r="Y24" s="38"/>
      <c r="Z24" s="38"/>
      <c r="AA24" s="38"/>
      <c r="AB24" s="20"/>
      <c r="AC24" s="27"/>
    </row>
    <row r="25" spans="1:29" ht="47.25" customHeight="1" x14ac:dyDescent="0.3">
      <c r="A25" s="41">
        <v>14</v>
      </c>
      <c r="B25" s="43" t="s">
        <v>83</v>
      </c>
      <c r="C25" s="41">
        <v>4</v>
      </c>
      <c r="D25" s="41">
        <v>2776</v>
      </c>
      <c r="E25" s="41">
        <v>384</v>
      </c>
      <c r="F25" s="49">
        <f>D25-E25</f>
        <v>2392</v>
      </c>
      <c r="G25" s="41" t="s">
        <v>42</v>
      </c>
      <c r="H25" s="41">
        <v>279</v>
      </c>
      <c r="I25" s="8">
        <v>45</v>
      </c>
      <c r="J25" s="8">
        <v>339</v>
      </c>
      <c r="K25" s="8" t="s">
        <v>25</v>
      </c>
      <c r="L25" s="28">
        <v>220.2</v>
      </c>
      <c r="M25" s="8">
        <v>49.5</v>
      </c>
      <c r="N25" s="40">
        <f>L25+L26+M25</f>
        <v>279</v>
      </c>
      <c r="O25" s="62">
        <f t="shared" si="0"/>
        <v>0.11663879598662208</v>
      </c>
      <c r="P25" s="41">
        <v>3</v>
      </c>
      <c r="Q25" s="41">
        <v>2</v>
      </c>
      <c r="R25" s="37">
        <f t="shared" si="1"/>
        <v>25110000</v>
      </c>
      <c r="S25" s="37">
        <f t="shared" si="2"/>
        <v>75330000</v>
      </c>
      <c r="T25" s="37">
        <f t="shared" si="5"/>
        <v>3060000</v>
      </c>
      <c r="U25" s="37">
        <f t="shared" si="6"/>
        <v>103500000</v>
      </c>
      <c r="V25" s="37" t="s">
        <v>26</v>
      </c>
      <c r="W25" s="37">
        <v>10000</v>
      </c>
      <c r="X25" s="37">
        <f t="shared" si="3"/>
        <v>2790000</v>
      </c>
      <c r="Y25" s="37">
        <f t="shared" si="4"/>
        <v>2790000</v>
      </c>
      <c r="Z25" s="37">
        <f>SUM(U25,Y25)</f>
        <v>106290000</v>
      </c>
      <c r="AA25" s="37"/>
      <c r="AB25" s="20"/>
      <c r="AC25" s="27"/>
    </row>
    <row r="26" spans="1:29" ht="48" customHeight="1" x14ac:dyDescent="0.3">
      <c r="A26" s="42"/>
      <c r="B26" s="44"/>
      <c r="C26" s="42"/>
      <c r="D26" s="42"/>
      <c r="E26" s="42"/>
      <c r="F26" s="50"/>
      <c r="G26" s="42"/>
      <c r="H26" s="42"/>
      <c r="I26" s="8">
        <v>45</v>
      </c>
      <c r="J26" s="8">
        <v>344</v>
      </c>
      <c r="K26" s="8" t="s">
        <v>25</v>
      </c>
      <c r="L26" s="28">
        <v>9.3000000000000007</v>
      </c>
      <c r="M26" s="8"/>
      <c r="N26" s="40"/>
      <c r="O26" s="63"/>
      <c r="P26" s="42"/>
      <c r="Q26" s="42"/>
      <c r="R26" s="38"/>
      <c r="S26" s="38"/>
      <c r="T26" s="38"/>
      <c r="U26" s="38"/>
      <c r="V26" s="38"/>
      <c r="W26" s="38"/>
      <c r="X26" s="38"/>
      <c r="Y26" s="38"/>
      <c r="Z26" s="38"/>
      <c r="AA26" s="38"/>
      <c r="AB26" s="20"/>
      <c r="AC26" s="27"/>
    </row>
    <row r="27" spans="1:29" ht="54.75" customHeight="1" x14ac:dyDescent="0.3">
      <c r="A27" s="9">
        <v>15</v>
      </c>
      <c r="B27" s="9" t="s">
        <v>84</v>
      </c>
      <c r="C27" s="8">
        <v>2</v>
      </c>
      <c r="D27" s="8">
        <v>1584</v>
      </c>
      <c r="E27" s="8">
        <f>195+156.5</f>
        <v>351.5</v>
      </c>
      <c r="F27" s="21">
        <f>D27-E27</f>
        <v>1232.5</v>
      </c>
      <c r="G27" s="8" t="s">
        <v>43</v>
      </c>
      <c r="H27" s="8">
        <v>274</v>
      </c>
      <c r="I27" s="8">
        <v>45</v>
      </c>
      <c r="J27" s="8">
        <v>344</v>
      </c>
      <c r="K27" s="8" t="s">
        <v>25</v>
      </c>
      <c r="L27" s="28">
        <v>5.4</v>
      </c>
      <c r="M27" s="8"/>
      <c r="N27" s="28">
        <v>5.4</v>
      </c>
      <c r="O27" s="14">
        <f t="shared" si="0"/>
        <v>4.3813387423935098E-3</v>
      </c>
      <c r="P27" s="8">
        <v>2</v>
      </c>
      <c r="Q27" s="8">
        <v>2</v>
      </c>
      <c r="R27" s="25">
        <f t="shared" si="1"/>
        <v>486000.00000000006</v>
      </c>
      <c r="S27" s="25">
        <f t="shared" si="2"/>
        <v>1458000.0000000002</v>
      </c>
      <c r="T27" s="25">
        <f t="shared" si="5"/>
        <v>2040000</v>
      </c>
      <c r="U27" s="25">
        <f t="shared" si="6"/>
        <v>3984000</v>
      </c>
      <c r="V27" s="25" t="s">
        <v>26</v>
      </c>
      <c r="W27" s="25">
        <v>10000</v>
      </c>
      <c r="X27" s="25">
        <f t="shared" si="3"/>
        <v>54000</v>
      </c>
      <c r="Y27" s="25">
        <f t="shared" si="4"/>
        <v>54000</v>
      </c>
      <c r="Z27" s="25">
        <f>SUM(U27,Y27)</f>
        <v>4038000</v>
      </c>
      <c r="AA27" s="25"/>
      <c r="AB27" s="20"/>
      <c r="AC27" s="27"/>
    </row>
    <row r="28" spans="1:29" ht="72" customHeight="1" x14ac:dyDescent="0.3">
      <c r="A28" s="41">
        <v>16</v>
      </c>
      <c r="B28" s="43" t="s">
        <v>85</v>
      </c>
      <c r="C28" s="41">
        <v>6</v>
      </c>
      <c r="D28" s="41">
        <v>4752</v>
      </c>
      <c r="E28" s="41">
        <f>313+380+286+348+173.7+428</f>
        <v>1928.7</v>
      </c>
      <c r="F28" s="49">
        <f>D28-E28</f>
        <v>2823.3</v>
      </c>
      <c r="G28" s="41" t="s">
        <v>44</v>
      </c>
      <c r="H28" s="41">
        <v>467</v>
      </c>
      <c r="I28" s="8">
        <v>45</v>
      </c>
      <c r="J28" s="8">
        <v>357</v>
      </c>
      <c r="K28" s="8" t="s">
        <v>25</v>
      </c>
      <c r="L28" s="28">
        <v>387.1</v>
      </c>
      <c r="M28" s="8">
        <v>36</v>
      </c>
      <c r="N28" s="40">
        <f>L28+L29+M28</f>
        <v>467</v>
      </c>
      <c r="O28" s="62">
        <f t="shared" si="0"/>
        <v>0.1654092728367513</v>
      </c>
      <c r="P28" s="41">
        <v>3</v>
      </c>
      <c r="Q28" s="41">
        <v>6</v>
      </c>
      <c r="R28" s="37">
        <f t="shared" si="1"/>
        <v>42030000</v>
      </c>
      <c r="S28" s="37">
        <f t="shared" si="2"/>
        <v>126090000</v>
      </c>
      <c r="T28" s="37">
        <f t="shared" si="5"/>
        <v>9180000</v>
      </c>
      <c r="U28" s="37">
        <f t="shared" si="6"/>
        <v>177300000</v>
      </c>
      <c r="V28" s="37" t="s">
        <v>26</v>
      </c>
      <c r="W28" s="37">
        <v>10000</v>
      </c>
      <c r="X28" s="37">
        <f t="shared" si="3"/>
        <v>4670000</v>
      </c>
      <c r="Y28" s="37">
        <f t="shared" si="4"/>
        <v>4670000</v>
      </c>
      <c r="Z28" s="37">
        <f>SUM(U28,Y28)</f>
        <v>181970000</v>
      </c>
      <c r="AA28" s="37"/>
      <c r="AB28" s="20"/>
      <c r="AC28" s="27"/>
    </row>
    <row r="29" spans="1:29" ht="58.5" customHeight="1" x14ac:dyDescent="0.3">
      <c r="A29" s="42"/>
      <c r="B29" s="44"/>
      <c r="C29" s="42"/>
      <c r="D29" s="42"/>
      <c r="E29" s="42"/>
      <c r="F29" s="50"/>
      <c r="G29" s="42"/>
      <c r="H29" s="42"/>
      <c r="I29" s="8">
        <v>45</v>
      </c>
      <c r="J29" s="8">
        <v>384</v>
      </c>
      <c r="K29" s="8" t="s">
        <v>25</v>
      </c>
      <c r="L29" s="28">
        <v>43.9</v>
      </c>
      <c r="M29" s="8"/>
      <c r="N29" s="40"/>
      <c r="O29" s="63"/>
      <c r="P29" s="42"/>
      <c r="Q29" s="42"/>
      <c r="R29" s="38"/>
      <c r="S29" s="38"/>
      <c r="T29" s="38"/>
      <c r="U29" s="38"/>
      <c r="V29" s="38"/>
      <c r="W29" s="38"/>
      <c r="X29" s="38"/>
      <c r="Y29" s="38"/>
      <c r="Z29" s="38"/>
      <c r="AA29" s="38"/>
      <c r="AB29" s="20"/>
      <c r="AC29" s="27"/>
    </row>
    <row r="30" spans="1:29" ht="63.75" customHeight="1" x14ac:dyDescent="0.3">
      <c r="A30" s="8">
        <v>17</v>
      </c>
      <c r="B30" s="9" t="s">
        <v>45</v>
      </c>
      <c r="C30" s="8">
        <v>1</v>
      </c>
      <c r="D30" s="8">
        <v>857</v>
      </c>
      <c r="E30" s="8">
        <f>200+363</f>
        <v>563</v>
      </c>
      <c r="F30" s="28">
        <f>D30-E30</f>
        <v>294</v>
      </c>
      <c r="G30" s="8" t="s">
        <v>44</v>
      </c>
      <c r="H30" s="8">
        <v>72</v>
      </c>
      <c r="I30" s="8">
        <v>45</v>
      </c>
      <c r="J30" s="8">
        <v>384</v>
      </c>
      <c r="K30" s="8" t="s">
        <v>25</v>
      </c>
      <c r="L30" s="28">
        <v>8.8000000000000007</v>
      </c>
      <c r="M30" s="8">
        <v>63.2</v>
      </c>
      <c r="N30" s="28">
        <f>L30+M30</f>
        <v>72</v>
      </c>
      <c r="O30" s="14">
        <f t="shared" si="0"/>
        <v>0.24489795918367346</v>
      </c>
      <c r="P30" s="8">
        <v>5</v>
      </c>
      <c r="Q30" s="8">
        <v>0</v>
      </c>
      <c r="R30" s="25">
        <f t="shared" si="1"/>
        <v>6480000</v>
      </c>
      <c r="S30" s="25">
        <f t="shared" si="2"/>
        <v>19440000</v>
      </c>
      <c r="T30" s="25"/>
      <c r="U30" s="25">
        <f>R30+S30+T30</f>
        <v>25920000</v>
      </c>
      <c r="V30" s="25" t="s">
        <v>26</v>
      </c>
      <c r="W30" s="25">
        <v>10000</v>
      </c>
      <c r="X30" s="25">
        <f t="shared" si="3"/>
        <v>720000</v>
      </c>
      <c r="Y30" s="25">
        <f t="shared" si="4"/>
        <v>720000</v>
      </c>
      <c r="Z30" s="25">
        <f>SUM(U30,Y30)</f>
        <v>26640000</v>
      </c>
      <c r="AA30" s="25"/>
      <c r="AB30" s="20"/>
      <c r="AC30" s="27"/>
    </row>
    <row r="31" spans="1:29" ht="81" customHeight="1" x14ac:dyDescent="0.3">
      <c r="A31" s="47">
        <v>18</v>
      </c>
      <c r="B31" s="47" t="s">
        <v>86</v>
      </c>
      <c r="C31" s="48">
        <v>7</v>
      </c>
      <c r="D31" s="43">
        <v>5544</v>
      </c>
      <c r="E31" s="41">
        <f>222+181.6+494+22.4</f>
        <v>920</v>
      </c>
      <c r="F31" s="49">
        <f>D31-E31</f>
        <v>4624</v>
      </c>
      <c r="G31" s="8" t="s">
        <v>46</v>
      </c>
      <c r="H31" s="8">
        <v>532</v>
      </c>
      <c r="I31" s="8">
        <v>45</v>
      </c>
      <c r="J31" s="8">
        <v>416</v>
      </c>
      <c r="K31" s="8" t="s">
        <v>25</v>
      </c>
      <c r="L31" s="28">
        <v>182.2</v>
      </c>
      <c r="M31" s="8"/>
      <c r="N31" s="40">
        <f>L31+L32</f>
        <v>212.5</v>
      </c>
      <c r="O31" s="62">
        <f t="shared" si="0"/>
        <v>4.595588235294118E-2</v>
      </c>
      <c r="P31" s="41">
        <v>2</v>
      </c>
      <c r="Q31" s="41">
        <v>5</v>
      </c>
      <c r="R31" s="37">
        <f t="shared" si="1"/>
        <v>19125000</v>
      </c>
      <c r="S31" s="37">
        <f t="shared" si="2"/>
        <v>57375000</v>
      </c>
      <c r="T31" s="37">
        <f t="shared" si="5"/>
        <v>5100000</v>
      </c>
      <c r="U31" s="37">
        <f t="shared" si="6"/>
        <v>81600000</v>
      </c>
      <c r="V31" s="37" t="s">
        <v>26</v>
      </c>
      <c r="W31" s="37">
        <v>10000</v>
      </c>
      <c r="X31" s="37">
        <f t="shared" si="3"/>
        <v>2125000</v>
      </c>
      <c r="Y31" s="37">
        <f t="shared" si="4"/>
        <v>2125000</v>
      </c>
      <c r="Z31" s="37">
        <f>SUM(U31,Y31)</f>
        <v>83725000</v>
      </c>
      <c r="AA31" s="37"/>
      <c r="AB31" s="20"/>
      <c r="AC31" s="27"/>
    </row>
    <row r="32" spans="1:29" ht="68.25" customHeight="1" x14ac:dyDescent="0.3">
      <c r="A32" s="47"/>
      <c r="B32" s="47"/>
      <c r="C32" s="48"/>
      <c r="D32" s="44"/>
      <c r="E32" s="42"/>
      <c r="F32" s="50"/>
      <c r="G32" s="8" t="s">
        <v>47</v>
      </c>
      <c r="H32" s="8">
        <v>360</v>
      </c>
      <c r="I32" s="8">
        <v>44</v>
      </c>
      <c r="J32" s="8">
        <v>295</v>
      </c>
      <c r="K32" s="8" t="s">
        <v>25</v>
      </c>
      <c r="L32" s="28">
        <v>30.3</v>
      </c>
      <c r="M32" s="8"/>
      <c r="N32" s="40"/>
      <c r="O32" s="63"/>
      <c r="P32" s="42"/>
      <c r="Q32" s="42"/>
      <c r="R32" s="38"/>
      <c r="S32" s="38"/>
      <c r="T32" s="38"/>
      <c r="U32" s="38"/>
      <c r="V32" s="38"/>
      <c r="W32" s="38"/>
      <c r="X32" s="38"/>
      <c r="Y32" s="38"/>
      <c r="Z32" s="38"/>
      <c r="AA32" s="38"/>
      <c r="AB32" s="20"/>
      <c r="AC32" s="27"/>
    </row>
    <row r="33" spans="1:29" ht="103.5" customHeight="1" x14ac:dyDescent="0.3">
      <c r="A33" s="9">
        <v>19</v>
      </c>
      <c r="B33" s="9" t="s">
        <v>87</v>
      </c>
      <c r="C33" s="8">
        <v>5</v>
      </c>
      <c r="D33" s="8">
        <v>3960</v>
      </c>
      <c r="E33" s="8">
        <f>248+215+298+426</f>
        <v>1187</v>
      </c>
      <c r="F33" s="28">
        <f t="shared" ref="F33:F44" si="7">D33-E33</f>
        <v>2773</v>
      </c>
      <c r="G33" s="8" t="s">
        <v>48</v>
      </c>
      <c r="H33" s="8">
        <v>240</v>
      </c>
      <c r="I33" s="8">
        <v>45</v>
      </c>
      <c r="J33" s="8">
        <v>1063</v>
      </c>
      <c r="K33" s="8" t="s">
        <v>25</v>
      </c>
      <c r="L33" s="28">
        <v>43</v>
      </c>
      <c r="M33" s="8"/>
      <c r="N33" s="28">
        <v>43</v>
      </c>
      <c r="O33" s="14">
        <f t="shared" si="0"/>
        <v>1.5506671474936892E-2</v>
      </c>
      <c r="P33" s="8">
        <v>2</v>
      </c>
      <c r="Q33" s="8">
        <v>4</v>
      </c>
      <c r="R33" s="25">
        <f t="shared" si="1"/>
        <v>3870000</v>
      </c>
      <c r="S33" s="25">
        <f t="shared" si="2"/>
        <v>11610000</v>
      </c>
      <c r="T33" s="25">
        <f t="shared" si="5"/>
        <v>4080000</v>
      </c>
      <c r="U33" s="25">
        <f t="shared" si="6"/>
        <v>19560000</v>
      </c>
      <c r="V33" s="25" t="s">
        <v>26</v>
      </c>
      <c r="W33" s="25">
        <v>10000</v>
      </c>
      <c r="X33" s="25">
        <f t="shared" si="3"/>
        <v>430000</v>
      </c>
      <c r="Y33" s="25">
        <f t="shared" si="4"/>
        <v>430000</v>
      </c>
      <c r="Z33" s="25">
        <f t="shared" ref="Z33:Z47" si="8">SUM(U33,Y33)</f>
        <v>19990000</v>
      </c>
      <c r="AA33" s="25"/>
      <c r="AB33" s="20"/>
      <c r="AC33" s="27"/>
    </row>
    <row r="34" spans="1:29" ht="72.75" customHeight="1" x14ac:dyDescent="0.3">
      <c r="A34" s="9">
        <v>20</v>
      </c>
      <c r="B34" s="9" t="s">
        <v>88</v>
      </c>
      <c r="C34" s="8">
        <v>3</v>
      </c>
      <c r="D34" s="8">
        <v>2280</v>
      </c>
      <c r="E34" s="8">
        <f>384+2.8</f>
        <v>386.8</v>
      </c>
      <c r="F34" s="21">
        <f t="shared" si="7"/>
        <v>1893.2</v>
      </c>
      <c r="G34" s="8" t="s">
        <v>49</v>
      </c>
      <c r="H34" s="8">
        <v>126</v>
      </c>
      <c r="I34" s="8">
        <v>45</v>
      </c>
      <c r="J34" s="8">
        <v>1064</v>
      </c>
      <c r="K34" s="8" t="s">
        <v>25</v>
      </c>
      <c r="L34" s="28">
        <v>32.6</v>
      </c>
      <c r="M34" s="8"/>
      <c r="N34" s="28">
        <v>32.6</v>
      </c>
      <c r="O34" s="14">
        <f t="shared" si="0"/>
        <v>1.7219522501584619E-2</v>
      </c>
      <c r="P34" s="8">
        <v>2</v>
      </c>
      <c r="Q34" s="8">
        <v>3</v>
      </c>
      <c r="R34" s="25">
        <f t="shared" si="1"/>
        <v>2934000</v>
      </c>
      <c r="S34" s="25">
        <f t="shared" si="2"/>
        <v>8802000.0000000019</v>
      </c>
      <c r="T34" s="25">
        <f t="shared" si="5"/>
        <v>3060000</v>
      </c>
      <c r="U34" s="25">
        <f t="shared" si="6"/>
        <v>14796000.000000002</v>
      </c>
      <c r="V34" s="25" t="s">
        <v>26</v>
      </c>
      <c r="W34" s="25">
        <v>10000</v>
      </c>
      <c r="X34" s="25">
        <f t="shared" si="3"/>
        <v>326000</v>
      </c>
      <c r="Y34" s="25">
        <f t="shared" si="4"/>
        <v>326000</v>
      </c>
      <c r="Z34" s="25">
        <f t="shared" si="8"/>
        <v>15122000.000000002</v>
      </c>
      <c r="AA34" s="25"/>
      <c r="AB34" s="20"/>
      <c r="AC34" s="27"/>
    </row>
    <row r="35" spans="1:29" ht="111" customHeight="1" x14ac:dyDescent="0.3">
      <c r="A35" s="9">
        <v>21</v>
      </c>
      <c r="B35" s="9" t="s">
        <v>89</v>
      </c>
      <c r="C35" s="8">
        <v>5</v>
      </c>
      <c r="D35" s="8">
        <v>3960</v>
      </c>
      <c r="E35" s="8">
        <f>259+37+413+175+473+56.4</f>
        <v>1413.4</v>
      </c>
      <c r="F35" s="21">
        <f t="shared" si="7"/>
        <v>2546.6</v>
      </c>
      <c r="G35" s="8" t="s">
        <v>50</v>
      </c>
      <c r="H35" s="8">
        <v>127</v>
      </c>
      <c r="I35" s="8">
        <v>45</v>
      </c>
      <c r="J35" s="8">
        <v>1062</v>
      </c>
      <c r="K35" s="8" t="s">
        <v>25</v>
      </c>
      <c r="L35" s="28">
        <v>12.3</v>
      </c>
      <c r="M35" s="8"/>
      <c r="N35" s="28">
        <v>12.3</v>
      </c>
      <c r="O35" s="14">
        <f t="shared" si="0"/>
        <v>4.8299693709259409E-3</v>
      </c>
      <c r="P35" s="8">
        <v>2</v>
      </c>
      <c r="Q35" s="8">
        <v>7</v>
      </c>
      <c r="R35" s="25">
        <f t="shared" si="1"/>
        <v>1107000</v>
      </c>
      <c r="S35" s="25">
        <f t="shared" si="2"/>
        <v>3321000.0000000005</v>
      </c>
      <c r="T35" s="25">
        <f t="shared" si="5"/>
        <v>7140000</v>
      </c>
      <c r="U35" s="25">
        <f t="shared" si="6"/>
        <v>11568000</v>
      </c>
      <c r="V35" s="25" t="s">
        <v>26</v>
      </c>
      <c r="W35" s="25">
        <v>10000</v>
      </c>
      <c r="X35" s="25">
        <f t="shared" si="3"/>
        <v>123000</v>
      </c>
      <c r="Y35" s="25">
        <f t="shared" si="4"/>
        <v>123000</v>
      </c>
      <c r="Z35" s="25">
        <f t="shared" si="8"/>
        <v>11691000</v>
      </c>
      <c r="AA35" s="25"/>
      <c r="AB35" s="20"/>
      <c r="AC35" s="27"/>
    </row>
    <row r="36" spans="1:29" ht="75.75" customHeight="1" x14ac:dyDescent="0.3">
      <c r="A36" s="9">
        <v>22</v>
      </c>
      <c r="B36" s="9" t="s">
        <v>90</v>
      </c>
      <c r="C36" s="8">
        <v>3</v>
      </c>
      <c r="D36" s="8">
        <v>2430</v>
      </c>
      <c r="E36" s="8">
        <v>277</v>
      </c>
      <c r="F36" s="28">
        <f t="shared" si="7"/>
        <v>2153</v>
      </c>
      <c r="G36" s="8" t="s">
        <v>51</v>
      </c>
      <c r="H36" s="8">
        <v>242</v>
      </c>
      <c r="I36" s="8">
        <v>45</v>
      </c>
      <c r="J36" s="8">
        <v>1071</v>
      </c>
      <c r="K36" s="8" t="s">
        <v>25</v>
      </c>
      <c r="L36" s="28">
        <v>242</v>
      </c>
      <c r="M36" s="8"/>
      <c r="N36" s="28">
        <v>242</v>
      </c>
      <c r="O36" s="14">
        <f t="shared" si="0"/>
        <v>0.112401300510915</v>
      </c>
      <c r="P36" s="8">
        <v>3</v>
      </c>
      <c r="Q36" s="8">
        <v>6</v>
      </c>
      <c r="R36" s="25">
        <f t="shared" si="1"/>
        <v>21780000</v>
      </c>
      <c r="S36" s="25">
        <f t="shared" si="2"/>
        <v>65340000</v>
      </c>
      <c r="T36" s="25">
        <f t="shared" si="5"/>
        <v>9180000</v>
      </c>
      <c r="U36" s="25">
        <f t="shared" si="6"/>
        <v>96300000</v>
      </c>
      <c r="V36" s="25" t="s">
        <v>26</v>
      </c>
      <c r="W36" s="25">
        <v>10000</v>
      </c>
      <c r="X36" s="25">
        <f t="shared" si="3"/>
        <v>2420000</v>
      </c>
      <c r="Y36" s="25">
        <f t="shared" si="4"/>
        <v>2420000</v>
      </c>
      <c r="Z36" s="25">
        <f t="shared" si="8"/>
        <v>98720000</v>
      </c>
      <c r="AA36" s="25"/>
      <c r="AB36" s="20"/>
      <c r="AC36" s="27"/>
    </row>
    <row r="37" spans="1:29" ht="89.25" customHeight="1" x14ac:dyDescent="0.3">
      <c r="A37" s="9">
        <v>23</v>
      </c>
      <c r="B37" s="9" t="s">
        <v>91</v>
      </c>
      <c r="C37" s="8">
        <v>4</v>
      </c>
      <c r="D37" s="8">
        <v>3168</v>
      </c>
      <c r="E37" s="8">
        <v>405</v>
      </c>
      <c r="F37" s="28">
        <f t="shared" si="7"/>
        <v>2763</v>
      </c>
      <c r="G37" s="8" t="s">
        <v>52</v>
      </c>
      <c r="H37" s="8">
        <v>482</v>
      </c>
      <c r="I37" s="8">
        <v>45</v>
      </c>
      <c r="J37" s="8">
        <v>1069</v>
      </c>
      <c r="K37" s="8" t="s">
        <v>25</v>
      </c>
      <c r="L37" s="28">
        <v>246.5</v>
      </c>
      <c r="M37" s="8"/>
      <c r="N37" s="28">
        <v>246.5</v>
      </c>
      <c r="O37" s="14">
        <f t="shared" si="0"/>
        <v>8.9214621787911688E-2</v>
      </c>
      <c r="P37" s="8">
        <v>2</v>
      </c>
      <c r="Q37" s="8">
        <v>3</v>
      </c>
      <c r="R37" s="25">
        <f t="shared" si="1"/>
        <v>22185000</v>
      </c>
      <c r="S37" s="25">
        <f t="shared" si="2"/>
        <v>66555000</v>
      </c>
      <c r="T37" s="25">
        <f t="shared" si="5"/>
        <v>3060000</v>
      </c>
      <c r="U37" s="25">
        <f t="shared" si="6"/>
        <v>91800000</v>
      </c>
      <c r="V37" s="25" t="s">
        <v>26</v>
      </c>
      <c r="W37" s="25">
        <v>10000</v>
      </c>
      <c r="X37" s="25">
        <f t="shared" si="3"/>
        <v>2465000</v>
      </c>
      <c r="Y37" s="25">
        <f t="shared" si="4"/>
        <v>2465000</v>
      </c>
      <c r="Z37" s="25">
        <f t="shared" si="8"/>
        <v>94265000</v>
      </c>
      <c r="AA37" s="25"/>
      <c r="AB37" s="20"/>
      <c r="AC37" s="27"/>
    </row>
    <row r="38" spans="1:29" ht="78" customHeight="1" x14ac:dyDescent="0.3">
      <c r="A38" s="9">
        <v>24</v>
      </c>
      <c r="B38" s="9" t="s">
        <v>98</v>
      </c>
      <c r="C38" s="8">
        <v>2</v>
      </c>
      <c r="D38" s="8">
        <v>1523</v>
      </c>
      <c r="E38" s="8">
        <f>246+200</f>
        <v>446</v>
      </c>
      <c r="F38" s="28">
        <f t="shared" si="7"/>
        <v>1077</v>
      </c>
      <c r="G38" s="8" t="s">
        <v>53</v>
      </c>
      <c r="H38" s="8">
        <v>184</v>
      </c>
      <c r="I38" s="8">
        <v>45</v>
      </c>
      <c r="J38" s="8">
        <v>1073</v>
      </c>
      <c r="K38" s="8" t="s">
        <v>25</v>
      </c>
      <c r="L38" s="28">
        <v>96.5</v>
      </c>
      <c r="M38" s="8"/>
      <c r="N38" s="28">
        <v>96.5</v>
      </c>
      <c r="O38" s="14">
        <f t="shared" si="0"/>
        <v>8.960074280408542E-2</v>
      </c>
      <c r="P38" s="8">
        <v>2</v>
      </c>
      <c r="Q38" s="8">
        <v>0</v>
      </c>
      <c r="R38" s="25">
        <f t="shared" si="1"/>
        <v>8685000</v>
      </c>
      <c r="S38" s="25">
        <f t="shared" si="2"/>
        <v>26055000</v>
      </c>
      <c r="T38" s="25"/>
      <c r="U38" s="25">
        <f t="shared" si="6"/>
        <v>34740000</v>
      </c>
      <c r="V38" s="25" t="s">
        <v>26</v>
      </c>
      <c r="W38" s="25">
        <v>10000</v>
      </c>
      <c r="X38" s="25">
        <f t="shared" si="3"/>
        <v>965000</v>
      </c>
      <c r="Y38" s="25">
        <f t="shared" si="4"/>
        <v>965000</v>
      </c>
      <c r="Z38" s="25">
        <f t="shared" si="8"/>
        <v>35705000</v>
      </c>
      <c r="AA38" s="25"/>
      <c r="AB38" s="20"/>
      <c r="AC38" s="27"/>
    </row>
    <row r="39" spans="1:29" ht="105.75" customHeight="1" x14ac:dyDescent="0.3">
      <c r="A39" s="9">
        <v>25</v>
      </c>
      <c r="B39" s="9" t="s">
        <v>92</v>
      </c>
      <c r="C39" s="8">
        <v>5</v>
      </c>
      <c r="D39" s="8">
        <v>3960</v>
      </c>
      <c r="E39" s="8">
        <f>180+450+465+365.8</f>
        <v>1460.8</v>
      </c>
      <c r="F39" s="28">
        <f t="shared" si="7"/>
        <v>2499.1999999999998</v>
      </c>
      <c r="G39" s="8" t="s">
        <v>49</v>
      </c>
      <c r="H39" s="8">
        <v>118</v>
      </c>
      <c r="I39" s="8">
        <v>45</v>
      </c>
      <c r="J39" s="8">
        <v>1066</v>
      </c>
      <c r="K39" s="8" t="s">
        <v>25</v>
      </c>
      <c r="L39" s="28">
        <v>35.6</v>
      </c>
      <c r="M39" s="8"/>
      <c r="N39" s="28">
        <v>35.6</v>
      </c>
      <c r="O39" s="14">
        <f t="shared" si="0"/>
        <v>1.4244558258642768E-2</v>
      </c>
      <c r="P39" s="8">
        <v>2</v>
      </c>
      <c r="Q39" s="8">
        <v>4</v>
      </c>
      <c r="R39" s="25">
        <f t="shared" si="1"/>
        <v>3204000</v>
      </c>
      <c r="S39" s="25">
        <f t="shared" si="2"/>
        <v>9612000.0000000019</v>
      </c>
      <c r="T39" s="25">
        <f t="shared" si="5"/>
        <v>4080000</v>
      </c>
      <c r="U39" s="25">
        <f t="shared" si="6"/>
        <v>16896000</v>
      </c>
      <c r="V39" s="25" t="s">
        <v>26</v>
      </c>
      <c r="W39" s="25">
        <v>10000</v>
      </c>
      <c r="X39" s="25">
        <f t="shared" si="3"/>
        <v>356000</v>
      </c>
      <c r="Y39" s="25">
        <f t="shared" si="4"/>
        <v>356000</v>
      </c>
      <c r="Z39" s="25">
        <f t="shared" si="8"/>
        <v>17252000</v>
      </c>
      <c r="AA39" s="25"/>
      <c r="AB39" s="20"/>
      <c r="AC39" s="27"/>
    </row>
    <row r="40" spans="1:29" ht="96.75" customHeight="1" x14ac:dyDescent="0.3">
      <c r="A40" s="9">
        <v>26</v>
      </c>
      <c r="B40" s="9" t="s">
        <v>93</v>
      </c>
      <c r="C40" s="8">
        <v>3</v>
      </c>
      <c r="D40" s="8">
        <v>2400</v>
      </c>
      <c r="E40" s="9">
        <f>259+324+146.7</f>
        <v>729.7</v>
      </c>
      <c r="F40" s="28">
        <f t="shared" si="7"/>
        <v>1670.3</v>
      </c>
      <c r="G40" s="8" t="s">
        <v>54</v>
      </c>
      <c r="H40" s="8">
        <v>234</v>
      </c>
      <c r="I40" s="8">
        <v>45</v>
      </c>
      <c r="J40" s="8">
        <v>1067</v>
      </c>
      <c r="K40" s="8" t="s">
        <v>25</v>
      </c>
      <c r="L40" s="28">
        <v>82.1</v>
      </c>
      <c r="M40" s="8"/>
      <c r="N40" s="28">
        <v>82.1</v>
      </c>
      <c r="O40" s="14">
        <f t="shared" si="0"/>
        <v>4.9152846793989104E-2</v>
      </c>
      <c r="P40" s="8">
        <v>2</v>
      </c>
      <c r="Q40" s="8">
        <v>2</v>
      </c>
      <c r="R40" s="25">
        <f t="shared" si="1"/>
        <v>7388999.9999999991</v>
      </c>
      <c r="S40" s="25">
        <f t="shared" si="2"/>
        <v>22167000</v>
      </c>
      <c r="T40" s="25">
        <f t="shared" si="5"/>
        <v>2040000</v>
      </c>
      <c r="U40" s="25">
        <f t="shared" si="6"/>
        <v>31596000</v>
      </c>
      <c r="V40" s="25" t="s">
        <v>26</v>
      </c>
      <c r="W40" s="25">
        <v>10000</v>
      </c>
      <c r="X40" s="25">
        <f t="shared" si="3"/>
        <v>821000</v>
      </c>
      <c r="Y40" s="25">
        <f t="shared" si="4"/>
        <v>821000</v>
      </c>
      <c r="Z40" s="25">
        <f t="shared" si="8"/>
        <v>32417000</v>
      </c>
      <c r="AA40" s="25"/>
      <c r="AB40" s="20"/>
      <c r="AC40" s="27"/>
    </row>
    <row r="41" spans="1:29" ht="102.75" customHeight="1" x14ac:dyDescent="0.3">
      <c r="A41" s="9">
        <v>27</v>
      </c>
      <c r="B41" s="9" t="s">
        <v>94</v>
      </c>
      <c r="C41" s="8">
        <v>2.5</v>
      </c>
      <c r="D41" s="8">
        <v>1944</v>
      </c>
      <c r="E41" s="8">
        <f>197+250+168.2+91.8</f>
        <v>707</v>
      </c>
      <c r="F41" s="28">
        <f t="shared" si="7"/>
        <v>1237</v>
      </c>
      <c r="G41" s="8" t="s">
        <v>55</v>
      </c>
      <c r="H41" s="8">
        <v>236</v>
      </c>
      <c r="I41" s="8">
        <v>45</v>
      </c>
      <c r="J41" s="8">
        <v>1061</v>
      </c>
      <c r="K41" s="8" t="s">
        <v>25</v>
      </c>
      <c r="L41" s="28">
        <v>9.1</v>
      </c>
      <c r="M41" s="8"/>
      <c r="N41" s="28">
        <v>9.1</v>
      </c>
      <c r="O41" s="14">
        <f t="shared" si="0"/>
        <v>7.3565076798706545E-3</v>
      </c>
      <c r="P41" s="8">
        <v>2</v>
      </c>
      <c r="Q41" s="8">
        <v>3</v>
      </c>
      <c r="R41" s="25">
        <f t="shared" si="1"/>
        <v>819000</v>
      </c>
      <c r="S41" s="25">
        <f t="shared" si="2"/>
        <v>2456999.9999999995</v>
      </c>
      <c r="T41" s="25">
        <f t="shared" si="5"/>
        <v>3060000</v>
      </c>
      <c r="U41" s="25">
        <f t="shared" si="6"/>
        <v>6336000</v>
      </c>
      <c r="V41" s="25" t="s">
        <v>26</v>
      </c>
      <c r="W41" s="25">
        <v>10000</v>
      </c>
      <c r="X41" s="25">
        <f t="shared" si="3"/>
        <v>91000</v>
      </c>
      <c r="Y41" s="25">
        <f t="shared" si="4"/>
        <v>91000</v>
      </c>
      <c r="Z41" s="25">
        <f t="shared" si="8"/>
        <v>6427000</v>
      </c>
      <c r="AA41" s="25"/>
      <c r="AB41" s="20"/>
      <c r="AC41" s="27"/>
    </row>
    <row r="42" spans="1:29" ht="99" customHeight="1" x14ac:dyDescent="0.3">
      <c r="A42" s="9">
        <v>28</v>
      </c>
      <c r="B42" s="9" t="s">
        <v>95</v>
      </c>
      <c r="C42" s="8">
        <v>4</v>
      </c>
      <c r="D42" s="8">
        <v>3168</v>
      </c>
      <c r="E42" s="8">
        <f>405+207.8</f>
        <v>612.79999999999995</v>
      </c>
      <c r="F42" s="28">
        <f t="shared" si="7"/>
        <v>2555.1999999999998</v>
      </c>
      <c r="G42" s="8" t="s">
        <v>56</v>
      </c>
      <c r="H42" s="8">
        <v>276</v>
      </c>
      <c r="I42" s="8">
        <v>45</v>
      </c>
      <c r="J42" s="8">
        <v>1072</v>
      </c>
      <c r="K42" s="8" t="s">
        <v>25</v>
      </c>
      <c r="L42" s="28">
        <v>276</v>
      </c>
      <c r="M42" s="8"/>
      <c r="N42" s="28">
        <v>276</v>
      </c>
      <c r="O42" s="14">
        <f t="shared" si="0"/>
        <v>0.10801502817783344</v>
      </c>
      <c r="P42" s="8">
        <v>3</v>
      </c>
      <c r="Q42" s="8">
        <v>4</v>
      </c>
      <c r="R42" s="25">
        <f t="shared" si="1"/>
        <v>24840000</v>
      </c>
      <c r="S42" s="25">
        <f t="shared" si="2"/>
        <v>74520000</v>
      </c>
      <c r="T42" s="25">
        <f t="shared" si="5"/>
        <v>6120000</v>
      </c>
      <c r="U42" s="25">
        <f t="shared" si="6"/>
        <v>105480000</v>
      </c>
      <c r="V42" s="25" t="s">
        <v>26</v>
      </c>
      <c r="W42" s="25">
        <v>10000</v>
      </c>
      <c r="X42" s="25">
        <f t="shared" si="3"/>
        <v>2760000</v>
      </c>
      <c r="Y42" s="25">
        <f t="shared" si="4"/>
        <v>2760000</v>
      </c>
      <c r="Z42" s="25">
        <f t="shared" si="8"/>
        <v>108240000</v>
      </c>
      <c r="AA42" s="25"/>
      <c r="AB42" s="20"/>
      <c r="AC42" s="27"/>
    </row>
    <row r="43" spans="1:29" ht="130.5" customHeight="1" x14ac:dyDescent="0.3">
      <c r="A43" s="9">
        <v>29</v>
      </c>
      <c r="B43" s="9" t="s">
        <v>96</v>
      </c>
      <c r="C43" s="8">
        <v>6</v>
      </c>
      <c r="D43" s="8">
        <v>4536</v>
      </c>
      <c r="E43" s="8">
        <f>733+630</f>
        <v>1363</v>
      </c>
      <c r="F43" s="28">
        <f t="shared" si="7"/>
        <v>3173</v>
      </c>
      <c r="G43" s="8" t="s">
        <v>57</v>
      </c>
      <c r="H43" s="8">
        <v>408</v>
      </c>
      <c r="I43" s="8">
        <v>44</v>
      </c>
      <c r="J43" s="8">
        <v>296</v>
      </c>
      <c r="K43" s="8" t="s">
        <v>25</v>
      </c>
      <c r="L43" s="28">
        <v>2.8</v>
      </c>
      <c r="M43" s="8"/>
      <c r="N43" s="28">
        <v>2.8</v>
      </c>
      <c r="O43" s="14">
        <f t="shared" si="0"/>
        <v>8.8244563504569803E-4</v>
      </c>
      <c r="P43" s="8">
        <v>2</v>
      </c>
      <c r="Q43" s="8">
        <v>3</v>
      </c>
      <c r="R43" s="25">
        <f t="shared" si="1"/>
        <v>251999.99999999997</v>
      </c>
      <c r="S43" s="25">
        <f t="shared" si="2"/>
        <v>755999.99999999988</v>
      </c>
      <c r="T43" s="25">
        <f t="shared" si="5"/>
        <v>3060000</v>
      </c>
      <c r="U43" s="25">
        <f t="shared" si="6"/>
        <v>4068000</v>
      </c>
      <c r="V43" s="25" t="s">
        <v>26</v>
      </c>
      <c r="W43" s="25">
        <v>10000</v>
      </c>
      <c r="X43" s="25">
        <f t="shared" si="3"/>
        <v>28000</v>
      </c>
      <c r="Y43" s="25">
        <f t="shared" si="4"/>
        <v>28000</v>
      </c>
      <c r="Z43" s="25">
        <f t="shared" si="8"/>
        <v>4096000</v>
      </c>
      <c r="AA43" s="25"/>
      <c r="AB43" s="20"/>
      <c r="AC43" s="27"/>
    </row>
    <row r="44" spans="1:29" ht="77.25" customHeight="1" x14ac:dyDescent="0.3">
      <c r="A44" s="9">
        <v>30</v>
      </c>
      <c r="B44" s="9" t="s">
        <v>58</v>
      </c>
      <c r="C44" s="8">
        <v>1</v>
      </c>
      <c r="D44" s="8">
        <v>696</v>
      </c>
      <c r="E44" s="8">
        <v>145</v>
      </c>
      <c r="F44" s="28">
        <f t="shared" si="7"/>
        <v>551</v>
      </c>
      <c r="G44" s="8" t="s">
        <v>59</v>
      </c>
      <c r="H44" s="8">
        <v>78</v>
      </c>
      <c r="I44" s="8">
        <v>45</v>
      </c>
      <c r="J44" s="8">
        <v>1058</v>
      </c>
      <c r="K44" s="8" t="s">
        <v>25</v>
      </c>
      <c r="L44" s="28">
        <v>13.1</v>
      </c>
      <c r="M44" s="8"/>
      <c r="N44" s="28">
        <v>13.1</v>
      </c>
      <c r="O44" s="14">
        <f t="shared" si="0"/>
        <v>2.3774954627949183E-2</v>
      </c>
      <c r="P44" s="8">
        <v>2</v>
      </c>
      <c r="Q44" s="8">
        <v>0</v>
      </c>
      <c r="R44" s="25">
        <f t="shared" si="1"/>
        <v>1179000</v>
      </c>
      <c r="S44" s="25">
        <f t="shared" si="2"/>
        <v>3536999.9999999995</v>
      </c>
      <c r="T44" s="25"/>
      <c r="U44" s="25">
        <f t="shared" si="6"/>
        <v>4716000</v>
      </c>
      <c r="V44" s="25" t="s">
        <v>26</v>
      </c>
      <c r="W44" s="25">
        <v>10000</v>
      </c>
      <c r="X44" s="25">
        <f t="shared" si="3"/>
        <v>131000</v>
      </c>
      <c r="Y44" s="25">
        <f t="shared" si="4"/>
        <v>131000</v>
      </c>
      <c r="Z44" s="25">
        <f t="shared" si="8"/>
        <v>4847000</v>
      </c>
      <c r="AA44" s="25"/>
      <c r="AB44" s="20"/>
      <c r="AC44" s="27"/>
    </row>
    <row r="45" spans="1:29" ht="106.5" customHeight="1" x14ac:dyDescent="0.3">
      <c r="A45" s="9">
        <v>31</v>
      </c>
      <c r="B45" s="9" t="s">
        <v>60</v>
      </c>
      <c r="C45" s="8">
        <v>2</v>
      </c>
      <c r="D45" s="8"/>
      <c r="E45" s="8"/>
      <c r="F45" s="21">
        <f>1632-(573+260)</f>
        <v>799</v>
      </c>
      <c r="G45" s="8" t="s">
        <v>61</v>
      </c>
      <c r="H45" s="13">
        <v>96</v>
      </c>
      <c r="I45" s="8">
        <v>45</v>
      </c>
      <c r="J45" s="8">
        <v>7</v>
      </c>
      <c r="K45" s="8" t="s">
        <v>25</v>
      </c>
      <c r="L45" s="28">
        <v>49.8</v>
      </c>
      <c r="M45" s="8">
        <v>46.2</v>
      </c>
      <c r="N45" s="28">
        <v>46.2</v>
      </c>
      <c r="O45" s="24">
        <f>(M45+L45)/F45</f>
        <v>0.12015018773466833</v>
      </c>
      <c r="P45" s="8">
        <v>3</v>
      </c>
      <c r="Q45" s="8">
        <v>0</v>
      </c>
      <c r="R45" s="25">
        <f t="shared" si="1"/>
        <v>4158000.0000000005</v>
      </c>
      <c r="S45" s="25">
        <f t="shared" si="2"/>
        <v>12474000.000000002</v>
      </c>
      <c r="T45" s="25"/>
      <c r="U45" s="25">
        <f>R45+S45+T45</f>
        <v>16632000.000000002</v>
      </c>
      <c r="V45" s="25" t="s">
        <v>26</v>
      </c>
      <c r="W45" s="25">
        <v>10000</v>
      </c>
      <c r="X45" s="25">
        <f t="shared" si="3"/>
        <v>462000</v>
      </c>
      <c r="Y45" s="25">
        <f t="shared" si="4"/>
        <v>462000</v>
      </c>
      <c r="Z45" s="25">
        <f t="shared" si="8"/>
        <v>17094000</v>
      </c>
      <c r="AA45" s="25"/>
      <c r="AB45" s="20"/>
      <c r="AC45" s="27"/>
    </row>
    <row r="46" spans="1:29" ht="60.75" customHeight="1" x14ac:dyDescent="0.3">
      <c r="A46" s="9">
        <v>32</v>
      </c>
      <c r="B46" s="9" t="s">
        <v>62</v>
      </c>
      <c r="C46" s="8">
        <v>1</v>
      </c>
      <c r="D46" s="21">
        <v>792</v>
      </c>
      <c r="E46" s="8"/>
      <c r="F46" s="21">
        <v>792</v>
      </c>
      <c r="G46" s="8" t="s">
        <v>63</v>
      </c>
      <c r="H46" s="13">
        <v>57</v>
      </c>
      <c r="I46" s="8">
        <v>45</v>
      </c>
      <c r="J46" s="8">
        <v>208</v>
      </c>
      <c r="K46" s="8" t="s">
        <v>25</v>
      </c>
      <c r="L46" s="28">
        <v>27.8</v>
      </c>
      <c r="M46" s="8">
        <v>29.2</v>
      </c>
      <c r="N46" s="28">
        <v>29.2</v>
      </c>
      <c r="O46" s="24">
        <f t="shared" ref="O46:O47" si="9">(M46+L46)/F46</f>
        <v>7.1969696969696975E-2</v>
      </c>
      <c r="P46" s="8">
        <v>2</v>
      </c>
      <c r="Q46" s="8">
        <v>0</v>
      </c>
      <c r="R46" s="25">
        <f t="shared" si="1"/>
        <v>2628000</v>
      </c>
      <c r="S46" s="25">
        <f t="shared" si="2"/>
        <v>7883999.9999999991</v>
      </c>
      <c r="T46" s="25"/>
      <c r="U46" s="25">
        <f t="shared" si="6"/>
        <v>10512000</v>
      </c>
      <c r="V46" s="25" t="s">
        <v>26</v>
      </c>
      <c r="W46" s="25">
        <v>10000</v>
      </c>
      <c r="X46" s="25">
        <f t="shared" si="3"/>
        <v>292000</v>
      </c>
      <c r="Y46" s="25">
        <f t="shared" si="4"/>
        <v>292000</v>
      </c>
      <c r="Z46" s="25">
        <f t="shared" si="8"/>
        <v>10804000</v>
      </c>
      <c r="AA46" s="25"/>
      <c r="AB46" s="20"/>
      <c r="AC46" s="27"/>
    </row>
    <row r="47" spans="1:29" ht="125.25" customHeight="1" x14ac:dyDescent="0.3">
      <c r="A47" s="9">
        <v>33</v>
      </c>
      <c r="B47" s="36" t="s">
        <v>97</v>
      </c>
      <c r="C47" s="8">
        <v>5</v>
      </c>
      <c r="D47" s="8"/>
      <c r="E47" s="8"/>
      <c r="F47" s="21">
        <f>3960-(367+426)</f>
        <v>3167</v>
      </c>
      <c r="G47" s="8" t="s">
        <v>64</v>
      </c>
      <c r="H47" s="8">
        <v>186</v>
      </c>
      <c r="I47" s="8">
        <v>45</v>
      </c>
      <c r="J47" s="8">
        <v>261</v>
      </c>
      <c r="K47" s="8" t="s">
        <v>25</v>
      </c>
      <c r="L47" s="28">
        <v>167.1</v>
      </c>
      <c r="M47" s="8">
        <v>18.899999999999999</v>
      </c>
      <c r="N47" s="28">
        <v>18.899999999999999</v>
      </c>
      <c r="O47" s="24">
        <f t="shared" si="9"/>
        <v>5.8730659930533627E-2</v>
      </c>
      <c r="P47" s="8">
        <v>2</v>
      </c>
      <c r="Q47" s="8">
        <v>5</v>
      </c>
      <c r="R47" s="25">
        <f>N47*90000</f>
        <v>1700999.9999999998</v>
      </c>
      <c r="S47" s="25">
        <f>N47*3*90000</f>
        <v>5103000</v>
      </c>
      <c r="T47" s="25"/>
      <c r="U47" s="25">
        <f>R47+S47</f>
        <v>6804000</v>
      </c>
      <c r="V47" s="25" t="s">
        <v>26</v>
      </c>
      <c r="W47" s="25">
        <v>10000</v>
      </c>
      <c r="X47" s="25">
        <f>N47*W47</f>
        <v>189000</v>
      </c>
      <c r="Y47" s="25">
        <f>N47*W47</f>
        <v>189000</v>
      </c>
      <c r="Z47" s="25">
        <f t="shared" si="8"/>
        <v>6993000</v>
      </c>
      <c r="AA47" s="26" t="s">
        <v>101</v>
      </c>
      <c r="AB47" s="20"/>
      <c r="AC47" s="27"/>
    </row>
    <row r="48" spans="1:29" hidden="1" x14ac:dyDescent="0.3">
      <c r="A48" s="15"/>
      <c r="B48" s="15"/>
      <c r="C48" s="15"/>
      <c r="D48" s="15"/>
      <c r="E48" s="15"/>
      <c r="F48" s="15"/>
      <c r="G48" s="15"/>
      <c r="H48" s="15"/>
      <c r="I48" s="15"/>
      <c r="J48" s="15"/>
      <c r="K48" s="15"/>
      <c r="L48" s="31">
        <f>SUM(L5:L44)</f>
        <v>3668.4</v>
      </c>
      <c r="M48" s="17">
        <f>SUM(M5:M47)</f>
        <v>350.39999999999992</v>
      </c>
      <c r="N48" s="32">
        <f>SUM(N5:N47)</f>
        <v>4018.7999999999997</v>
      </c>
      <c r="O48" s="15"/>
      <c r="P48" s="15"/>
      <c r="Q48" s="15"/>
      <c r="R48" s="18">
        <f>SUM(R5:R47)</f>
        <v>361692000</v>
      </c>
      <c r="S48" s="18">
        <f>SUM(S5:S47)</f>
        <v>1085076000</v>
      </c>
      <c r="T48" s="18">
        <f>SUM(T5:T47)</f>
        <v>114750000</v>
      </c>
      <c r="U48" s="18">
        <f>SUM(U5:U47)</f>
        <v>1561518000</v>
      </c>
      <c r="V48" s="33"/>
      <c r="W48" s="18"/>
      <c r="X48" s="18"/>
      <c r="Y48" s="18">
        <f>SUM(Y5:Y47)</f>
        <v>40188000</v>
      </c>
      <c r="Z48" s="19">
        <f>SUM(Z5:Z47)</f>
        <v>1601706000</v>
      </c>
      <c r="AA48" s="15"/>
    </row>
  </sheetData>
  <mergeCells count="207">
    <mergeCell ref="U23:U24"/>
    <mergeCell ref="P23:P24"/>
    <mergeCell ref="P25:P26"/>
    <mergeCell ref="P31:P32"/>
    <mergeCell ref="Q31:Q32"/>
    <mergeCell ref="O31:O32"/>
    <mergeCell ref="R31:R32"/>
    <mergeCell ref="S31:S32"/>
    <mergeCell ref="T28:T29"/>
    <mergeCell ref="U28:U29"/>
    <mergeCell ref="T31:T32"/>
    <mergeCell ref="U31:U32"/>
    <mergeCell ref="R25:R26"/>
    <mergeCell ref="S25:S26"/>
    <mergeCell ref="T25:T26"/>
    <mergeCell ref="U25:U26"/>
    <mergeCell ref="O28:O29"/>
    <mergeCell ref="P28:P29"/>
    <mergeCell ref="Q28:Q29"/>
    <mergeCell ref="R28:R29"/>
    <mergeCell ref="S28:S29"/>
    <mergeCell ref="Q25:Q26"/>
    <mergeCell ref="O25:O26"/>
    <mergeCell ref="R23:R24"/>
    <mergeCell ref="U12:U13"/>
    <mergeCell ref="R17:R19"/>
    <mergeCell ref="S17:S19"/>
    <mergeCell ref="T17:T19"/>
    <mergeCell ref="U17:U19"/>
    <mergeCell ref="R21:R22"/>
    <mergeCell ref="S21:S22"/>
    <mergeCell ref="T21:T22"/>
    <mergeCell ref="U21:U22"/>
    <mergeCell ref="S23:S24"/>
    <mergeCell ref="T23:T24"/>
    <mergeCell ref="O9:O10"/>
    <mergeCell ref="R9:R10"/>
    <mergeCell ref="S9:S10"/>
    <mergeCell ref="T9:T10"/>
    <mergeCell ref="U9:U10"/>
    <mergeCell ref="Q9:Q10"/>
    <mergeCell ref="P9:P10"/>
    <mergeCell ref="P15:P16"/>
    <mergeCell ref="Q15:Q16"/>
    <mergeCell ref="P12:P13"/>
    <mergeCell ref="Q12:Q13"/>
    <mergeCell ref="O15:O16"/>
    <mergeCell ref="R15:R16"/>
    <mergeCell ref="S15:S16"/>
    <mergeCell ref="O17:O19"/>
    <mergeCell ref="P21:P22"/>
    <mergeCell ref="T15:T16"/>
    <mergeCell ref="U15:U16"/>
    <mergeCell ref="O12:O13"/>
    <mergeCell ref="R12:R13"/>
    <mergeCell ref="S12:S13"/>
    <mergeCell ref="T12:T13"/>
    <mergeCell ref="AA2:AA3"/>
    <mergeCell ref="A1:AA1"/>
    <mergeCell ref="A2:A3"/>
    <mergeCell ref="B2:B3"/>
    <mergeCell ref="C2:C3"/>
    <mergeCell ref="F2:F3"/>
    <mergeCell ref="G2:H2"/>
    <mergeCell ref="I2:K2"/>
    <mergeCell ref="L2:L3"/>
    <mergeCell ref="N2:N3"/>
    <mergeCell ref="O2:O3"/>
    <mergeCell ref="P2:P3"/>
    <mergeCell ref="Q2:Q3"/>
    <mergeCell ref="R2:U2"/>
    <mergeCell ref="V2:Y2"/>
    <mergeCell ref="Z2:Z3"/>
    <mergeCell ref="F15:F16"/>
    <mergeCell ref="N9:N10"/>
    <mergeCell ref="A12:A13"/>
    <mergeCell ref="B12:B13"/>
    <mergeCell ref="C12:C13"/>
    <mergeCell ref="D12:D13"/>
    <mergeCell ref="E12:E13"/>
    <mergeCell ref="F12:F13"/>
    <mergeCell ref="N12:N13"/>
    <mergeCell ref="A9:A10"/>
    <mergeCell ref="B9:B10"/>
    <mergeCell ref="C9:C10"/>
    <mergeCell ref="D9:D10"/>
    <mergeCell ref="E9:E10"/>
    <mergeCell ref="F9:F10"/>
    <mergeCell ref="A15:A16"/>
    <mergeCell ref="B15:B16"/>
    <mergeCell ref="C15:C16"/>
    <mergeCell ref="D15:D16"/>
    <mergeCell ref="E15:E16"/>
    <mergeCell ref="G15:G16"/>
    <mergeCell ref="H15:H16"/>
    <mergeCell ref="N15:N16"/>
    <mergeCell ref="C17:C19"/>
    <mergeCell ref="D17:D19"/>
    <mergeCell ref="E17:E19"/>
    <mergeCell ref="Q21:Q22"/>
    <mergeCell ref="A23:A24"/>
    <mergeCell ref="B23:B24"/>
    <mergeCell ref="C23:C24"/>
    <mergeCell ref="D23:D24"/>
    <mergeCell ref="E23:E24"/>
    <mergeCell ref="F23:F24"/>
    <mergeCell ref="G23:G24"/>
    <mergeCell ref="H23:H24"/>
    <mergeCell ref="N23:N24"/>
    <mergeCell ref="A21:A22"/>
    <mergeCell ref="B21:B22"/>
    <mergeCell ref="C21:C22"/>
    <mergeCell ref="D21:D22"/>
    <mergeCell ref="Q23:Q24"/>
    <mergeCell ref="O21:O22"/>
    <mergeCell ref="N21:N22"/>
    <mergeCell ref="G17:G19"/>
    <mergeCell ref="P17:P19"/>
    <mergeCell ref="Q17:Q19"/>
    <mergeCell ref="O23:O24"/>
    <mergeCell ref="A25:A26"/>
    <mergeCell ref="B25:B26"/>
    <mergeCell ref="C25:C26"/>
    <mergeCell ref="D25:D26"/>
    <mergeCell ref="E25:E26"/>
    <mergeCell ref="F25:F26"/>
    <mergeCell ref="G25:G26"/>
    <mergeCell ref="H25:H26"/>
    <mergeCell ref="N25:N26"/>
    <mergeCell ref="N28:N29"/>
    <mergeCell ref="N31:N32"/>
    <mergeCell ref="A28:A29"/>
    <mergeCell ref="B28:B29"/>
    <mergeCell ref="C28:C29"/>
    <mergeCell ref="D28:D29"/>
    <mergeCell ref="E28:E29"/>
    <mergeCell ref="M2:M3"/>
    <mergeCell ref="A31:A32"/>
    <mergeCell ref="B31:B32"/>
    <mergeCell ref="C31:C32"/>
    <mergeCell ref="D31:D32"/>
    <mergeCell ref="E31:E32"/>
    <mergeCell ref="F31:F32"/>
    <mergeCell ref="H17:H19"/>
    <mergeCell ref="A17:A19"/>
    <mergeCell ref="B17:B19"/>
    <mergeCell ref="F28:F29"/>
    <mergeCell ref="G28:G29"/>
    <mergeCell ref="H28:H29"/>
    <mergeCell ref="E21:E22"/>
    <mergeCell ref="F21:F22"/>
    <mergeCell ref="F17:F19"/>
    <mergeCell ref="N17:N19"/>
    <mergeCell ref="W9:W10"/>
    <mergeCell ref="X9:X10"/>
    <mergeCell ref="Y9:Y10"/>
    <mergeCell ref="Z9:Z10"/>
    <mergeCell ref="W12:W13"/>
    <mergeCell ref="X12:X13"/>
    <mergeCell ref="Y12:Y13"/>
    <mergeCell ref="Z12:Z13"/>
    <mergeCell ref="W15:W16"/>
    <mergeCell ref="X15:X16"/>
    <mergeCell ref="Y15:Y16"/>
    <mergeCell ref="Z15:Z16"/>
    <mergeCell ref="W17:W19"/>
    <mergeCell ref="X17:X19"/>
    <mergeCell ref="Y17:Y19"/>
    <mergeCell ref="Z17:Z19"/>
    <mergeCell ref="W21:W22"/>
    <mergeCell ref="X21:X22"/>
    <mergeCell ref="Y21:Y22"/>
    <mergeCell ref="Z21:Z22"/>
    <mergeCell ref="W23:W24"/>
    <mergeCell ref="X23:X24"/>
    <mergeCell ref="Y23:Y24"/>
    <mergeCell ref="Z23:Z24"/>
    <mergeCell ref="W25:W26"/>
    <mergeCell ref="X25:X26"/>
    <mergeCell ref="Y25:Y26"/>
    <mergeCell ref="Z25:Z26"/>
    <mergeCell ref="W28:W29"/>
    <mergeCell ref="X28:X29"/>
    <mergeCell ref="Y28:Y29"/>
    <mergeCell ref="Z28:Z29"/>
    <mergeCell ref="W31:W32"/>
    <mergeCell ref="X31:X32"/>
    <mergeCell ref="Y31:Y32"/>
    <mergeCell ref="Z31:Z32"/>
    <mergeCell ref="V9:V10"/>
    <mergeCell ref="V12:V13"/>
    <mergeCell ref="V15:V16"/>
    <mergeCell ref="V17:V19"/>
    <mergeCell ref="V21:V22"/>
    <mergeCell ref="V23:V24"/>
    <mergeCell ref="V25:V26"/>
    <mergeCell ref="V28:V29"/>
    <mergeCell ref="V31:V32"/>
    <mergeCell ref="AA9:AA10"/>
    <mergeCell ref="AA12:AA13"/>
    <mergeCell ref="AA15:AA16"/>
    <mergeCell ref="AA17:AA19"/>
    <mergeCell ref="AA21:AA22"/>
    <mergeCell ref="AA23:AA24"/>
    <mergeCell ref="AA25:AA26"/>
    <mergeCell ref="AA28:AA29"/>
    <mergeCell ref="AA31:AA32"/>
  </mergeCells>
  <pageMargins left="0.7" right="0.7" top="0.75" bottom="0.75" header="0.3" footer="0.3"/>
  <pageSetup paperSize="8"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cp:lastPrinted>2026-10-05T07:37:51Z</cp:lastPrinted>
  <dcterms:created xsi:type="dcterms:W3CDTF">2026-09-22T03:28:35Z</dcterms:created>
  <dcterms:modified xsi:type="dcterms:W3CDTF">2026-10-08T07:44:26Z</dcterms:modified>
</cp:coreProperties>
</file>